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juscer\OneDrive - Vilniaus rajono savivaldybės administracija\Darbalaukis\uršula\"/>
    </mc:Choice>
  </mc:AlternateContent>
  <xr:revisionPtr revIDLastSave="0" documentId="8_{C3E3979E-0A7F-49B4-B071-AE14E4A7478A}" xr6:coauthVersionLast="47" xr6:coauthVersionMax="47" xr10:uidLastSave="{00000000-0000-0000-0000-000000000000}"/>
  <bookViews>
    <workbookView xWindow="-108" yWindow="-108" windowWidth="23256" windowHeight="12456" xr2:uid="{00000000-000D-0000-FFFF-FFFF00000000}"/>
  </bookViews>
  <sheets>
    <sheet name="08 Socialinės atskirties maž..." sheetId="1" r:id="rId1"/>
  </sheets>
  <definedNames>
    <definedName name="_xlnm._FilterDatabase" localSheetId="0" hidden="1">'08 Socialinės atskirties maž...'!$A$10:$K$10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4" i="1" l="1"/>
  <c r="J16" i="1"/>
  <c r="J45" i="1"/>
  <c r="K14" i="1" l="1"/>
  <c r="J14" i="1"/>
  <c r="K37" i="1" l="1"/>
  <c r="K30" i="1"/>
  <c r="K49" i="1" l="1"/>
  <c r="K53" i="1" l="1"/>
  <c r="K41" i="1"/>
  <c r="K61" i="1" l="1"/>
  <c r="J61" i="1"/>
  <c r="K56" i="1"/>
  <c r="K55" i="1"/>
  <c r="J53" i="1"/>
  <c r="K51" i="1"/>
  <c r="K50" i="1"/>
  <c r="K48" i="1"/>
  <c r="J56" i="1"/>
  <c r="J55" i="1"/>
  <c r="J52" i="1"/>
  <c r="J51" i="1"/>
  <c r="J50" i="1"/>
  <c r="J49" i="1"/>
  <c r="J48" i="1"/>
  <c r="K45" i="1"/>
  <c r="K43" i="1"/>
  <c r="K42" i="1"/>
  <c r="J43" i="1"/>
  <c r="J42" i="1"/>
  <c r="J41" i="1"/>
  <c r="K38" i="1"/>
  <c r="K36" i="1"/>
  <c r="K34" i="1"/>
  <c r="K33" i="1"/>
  <c r="K32" i="1"/>
  <c r="K31" i="1"/>
  <c r="J38" i="1"/>
  <c r="J37" i="1"/>
  <c r="J36" i="1"/>
  <c r="J33" i="1"/>
  <c r="J32" i="1"/>
  <c r="J31" i="1"/>
  <c r="J30" i="1"/>
  <c r="K28" i="1"/>
  <c r="K27" i="1"/>
  <c r="K26" i="1"/>
  <c r="J28" i="1"/>
  <c r="J27" i="1"/>
  <c r="J26" i="1"/>
  <c r="K17" i="1"/>
  <c r="K25" i="1"/>
  <c r="J25" i="1"/>
  <c r="K22" i="1"/>
  <c r="J22" i="1"/>
  <c r="K20" i="1"/>
  <c r="J20" i="1"/>
  <c r="J18" i="1"/>
  <c r="K12" i="1"/>
  <c r="J12" i="1"/>
  <c r="J63" i="1" l="1"/>
  <c r="K63" i="1"/>
  <c r="J59" i="1"/>
  <c r="K59" i="1"/>
  <c r="J46" i="1"/>
  <c r="K46" i="1"/>
  <c r="J29" i="1"/>
  <c r="K29" i="1"/>
  <c r="K65" i="1" l="1"/>
  <c r="J65" i="1"/>
  <c r="I59" i="1" l="1"/>
  <c r="I37" i="1"/>
  <c r="I29" i="1" l="1"/>
  <c r="I63" i="1" l="1"/>
  <c r="I46" i="1"/>
  <c r="I65" i="1" l="1"/>
</calcChain>
</file>

<file path=xl/sharedStrings.xml><?xml version="1.0" encoding="utf-8"?>
<sst xmlns="http://schemas.openxmlformats.org/spreadsheetml/2006/main" count="290" uniqueCount="178">
  <si>
    <t>Tikslas</t>
  </si>
  <si>
    <t>Uždavinys</t>
  </si>
  <si>
    <t>Priemonė</t>
  </si>
  <si>
    <t>Planinis terminas</t>
  </si>
  <si>
    <t>Finansavimo šaltinis</t>
  </si>
  <si>
    <t>Asignavimų valdytojas</t>
  </si>
  <si>
    <t>2023 m. planuojamos išlaidos (pagal 2023-2025 m. SVP)</t>
  </si>
  <si>
    <t>Patvirtinti 2023 m. asignavimai</t>
  </si>
  <si>
    <t>2023 metais panaudotos lėšos</t>
  </si>
  <si>
    <t>Kodas</t>
  </si>
  <si>
    <t>Pavadinimas</t>
  </si>
  <si>
    <t>Aprašymas</t>
  </si>
  <si>
    <t>tūkst. Eur.</t>
  </si>
  <si>
    <t>08.01</t>
  </si>
  <si>
    <t>08.01.01</t>
  </si>
  <si>
    <t>08.01.01.01</t>
  </si>
  <si>
    <t>Piniginės socialinės paramos teikimas nepasiturintiems gyventojams</t>
  </si>
  <si>
    <t xml:space="preserve">Pinigine ir nepinigine formomis teikiama parama nepasiturintiems gyventojams, gyvenantiems Vilniaus rajone įstatymo nustatyta tvarka: socialinė pašalpa, vienkartinė pašalpa soc. pažeistiems asmenims, pagalbos pinigai. </t>
  </si>
  <si>
    <t>nuolat</t>
  </si>
  <si>
    <t>SB</t>
  </si>
  <si>
    <t>Administracija</t>
  </si>
  <si>
    <t>08.01.01.02</t>
  </si>
  <si>
    <t>Paramos mirties atveju teikimas</t>
  </si>
  <si>
    <t>Iš valstybės  biudžeto specialiosios tikslinės  dotacijos skirtos laidojimo pašalpai ir paramai užsienyje mirusių (žuvusių) palaikams pervežti</t>
  </si>
  <si>
    <t>VB</t>
  </si>
  <si>
    <t>08.01.01.03</t>
  </si>
  <si>
    <t xml:space="preserve">Būsto šildymo ir šalto vandens išlaidų bei kredito grąžinimo palūkanų už daugiabučių modernizavimą kompensavimas </t>
  </si>
  <si>
    <t>Suteikta kompensacija už būsto šildymą, šaltą vandenį bei kredito grąžinimo palūkanų už daugiabučių namų modernizavimą</t>
  </si>
  <si>
    <t>08.01.01.04</t>
  </si>
  <si>
    <r>
      <t xml:space="preserve">Paramos mokiniams teikimas </t>
    </r>
    <r>
      <rPr>
        <sz val="8"/>
        <rFont val="Calibri"/>
        <family val="2"/>
        <charset val="186"/>
        <scheme val="minor"/>
      </rPr>
      <t>(aprūpinimas mokinio reikmenimis)</t>
    </r>
  </si>
  <si>
    <t>Socialinė parama mokiniams mokinio reikmenims įsigyti bei paramos teikimo administravimas</t>
  </si>
  <si>
    <t>08.01.01.05</t>
  </si>
  <si>
    <t>Galimybė paremti žemės ūkį</t>
  </si>
  <si>
    <t>Žemės ūkio finansavimas</t>
  </si>
  <si>
    <t>08.01.01.07</t>
  </si>
  <si>
    <t>Socialinės reabilitacijos paslaugų neįgaliesiems bendruomenėje</t>
  </si>
  <si>
    <t>Kompleksiškai pagal negalios pobūdį, sunkumą ir specifiką teikiamos socialinių, savarankiško gyvenimo, mokymosi, darbinių įgūdžių ugdymo, palaikymo ar atkūrimo paslaugos, kuriomis siekiama įgalinti asmenis su negalia savarankiškai gyventi bendruomenėje, ugdytis ir dalyvauti darbo rinkoje ar užimtumo veikloje  </t>
  </si>
  <si>
    <t>2022 -2025</t>
  </si>
  <si>
    <t>SB,VB</t>
  </si>
  <si>
    <t>08.01.01.08</t>
  </si>
  <si>
    <t xml:space="preserve">Parama mokiniams maisto produktais </t>
  </si>
  <si>
    <t>Socialinė parama už įsigytus maisto produktus (nemokamas mokinių maitinimas)</t>
  </si>
  <si>
    <t>08.01.01.11</t>
  </si>
  <si>
    <t>Vaiko išmokų mokėjimas ir administravimas</t>
  </si>
  <si>
    <t>Gyventojams, gyvenamąją vietą deklaruojantiems Vilniaus rajone mokamos: vienkartinė išmoka vaikui; išmoka vaikui; išmoka privalomosios pradinės karo tarnybos kario vaikui; globos(rūpybos) išmoka; vienkartinė išmoka įsikurti; vienkartinė išmoka nėščiai moteriai; išmoka besimokančio ar studijuojančio asmens vaiko priežiūrai; išmoka gimus vienu metu daugiau kaip vienam vaikui, globos (rūpybos) išmokos tikslinis priedas ir išmoka įvaikinus vaiką</t>
  </si>
  <si>
    <t>08.01.01.12</t>
  </si>
  <si>
    <t>Tikslinių kompensacijų mokėjimas ir administravimas</t>
  </si>
  <si>
    <t>Piniginė parama asmenims, turintiems specialųjį nuolatinės priežiūros (pagalbos) poreikį arba nuolatinės slaugos poreikį</t>
  </si>
  <si>
    <t>08.01.01.14</t>
  </si>
  <si>
    <t>Lengvatinis keleivių vežimas (kompensacijų skaičiavimas ir mokėjimas)</t>
  </si>
  <si>
    <t>LR transporto lengvatų įstatymo įgyvendinimas</t>
  </si>
  <si>
    <t>08.01.01.15</t>
  </si>
  <si>
    <t>Būsto nuomos ir išperkamosios būsto nuomos mokesčių dalies kompensavimas</t>
  </si>
  <si>
    <t>LR paramos būstui įsigyti ar išsinuomoti įstatymo įgyvendinimas</t>
  </si>
  <si>
    <t>08.01.01.17</t>
  </si>
  <si>
    <t>Socialinio būsto fondo  plėtra Vilniaus rajono savivaldybėje (statyba ir pirkimas)</t>
  </si>
  <si>
    <t xml:space="preserve">Projektas vykdomas pagal 2014-2020 m. ES investicijų veiksmų programą. Planuojama įrengti 50 vnt. socialinių būstų. </t>
  </si>
  <si>
    <t>2018 -2022</t>
  </si>
  <si>
    <t>SB, ES</t>
  </si>
  <si>
    <t>08.01.01.18</t>
  </si>
  <si>
    <t>Kompensacijos nepriklausomybės gynėjams, nukentėjusiems nuo 1991 m. sausio 11-13 d. ir po to vykdytos SSRS agresijos mokėjimas ir administravimas</t>
  </si>
  <si>
    <t>Kompensacijų nepriklausomybės  gynėjams, nukentėjusiems nuo 1991 m.sausio 11-13 d. ir po to vykdytos SSRS agresijos, bei jų šeimoms mokėjimas</t>
  </si>
  <si>
    <t>08.01.01.21</t>
  </si>
  <si>
    <t>Socialinio būsto statyba, renovacija ir remontas</t>
  </si>
  <si>
    <t>Bus suformuotas sklypas savivaldybės socialinio būsto plėtrai, keičiant bendrabučio (unik. Nr. 4198-5068-1012), esančio Mokyklos g. 6, Bukiškio k., Avižienių sen., Vilniaus r. (kad. Nr. 4103-0300:2002) paskirtį į daugiabutį gyvenamąjį namą, numatant atskirus turtinius vienetus: antro-penkto aukšto patalpas pertvarkyti į atskirus butus, pirmą aukštą – socialinės paskirties infrastruktūrai plėsti. Sklypo teritorijoje planuojama įrengti vaikų žaidimo aikšteles, automobilių stovėjimo vietas, teritoriją aptverti</t>
  </si>
  <si>
    <t>2022 -2024</t>
  </si>
  <si>
    <t>08.01.01.22</t>
  </si>
  <si>
    <t>Daugiabučių namų bendrojo naudojimo objektams remti</t>
  </si>
  <si>
    <t>Daugiabučių namų bendrojo naudojimo objektų remonto, rekonstravimo ir atnaujino finansavimas</t>
  </si>
  <si>
    <t>08.01.01.23</t>
  </si>
  <si>
    <t>Seniūnijų bendruomenėms remti</t>
  </si>
  <si>
    <t>Skirtos lėšos seniūnijų bendruomenėms paremti</t>
  </si>
  <si>
    <t>08.01.01.24</t>
  </si>
  <si>
    <t>Prevencija lygių galimybių srityje. Smurtas artimoje aplinkoje- prevencija ,apsauga, pagalba</t>
  </si>
  <si>
    <t>Priemonių nustatymas lygioms galimybėms užtikrinti. Smurto artimoje aplinkoje prevencija ir pagalba smurtą artimoje aplinkoje patyrusiems asmenims pagal atskirai patvirtintą priemonių planą</t>
  </si>
  <si>
    <t>08.01.01.25</t>
  </si>
  <si>
    <t>Odontologinės paslaugos (kompensacija už dantų protezavimą)</t>
  </si>
  <si>
    <t>Kompensacija už dantų protezavimą</t>
  </si>
  <si>
    <t>Teikti socialinę paramą - iš viso:</t>
  </si>
  <si>
    <t>08.01.02</t>
  </si>
  <si>
    <t>08.01.02.01</t>
  </si>
  <si>
    <t xml:space="preserve">Juodšilių seniūnijos bendruomenės socialinių paslaugų centro veiklos užtikrinimas </t>
  </si>
  <si>
    <t>Centro veiklos užtikrinimas</t>
  </si>
  <si>
    <t>SB, BĮ</t>
  </si>
  <si>
    <t>Įstaiga</t>
  </si>
  <si>
    <t>08.01.02.02</t>
  </si>
  <si>
    <t>Paberžės socialinės globos namų veiklos užtikrinimas</t>
  </si>
  <si>
    <t>Globos namų veiklos užtikrinimas</t>
  </si>
  <si>
    <t>SB,  BĮ</t>
  </si>
  <si>
    <t>08.01.02.03</t>
  </si>
  <si>
    <t>Nemenčinės neįgaliųjų centro veiklos užtikrinimas</t>
  </si>
  <si>
    <t>08.01.02.04</t>
  </si>
  <si>
    <t>Šeimos ir vaiko krizių centro  veiklos užtikrinimas</t>
  </si>
  <si>
    <t>08.01.02.05</t>
  </si>
  <si>
    <t>Socialinę riziką patiriančių šeimų priežiūra seniūnijose</t>
  </si>
  <si>
    <t>Socialinė priežiūra</t>
  </si>
  <si>
    <t>08.01.02.06</t>
  </si>
  <si>
    <t>Asmenims su negalia socialinės globos paslaugų  teikimas</t>
  </si>
  <si>
    <t>Ilgalaikė (trumpalaikė) socialinė globa - tai visuma paslaugų, kuriomis visiškai nesavarankiškam asmeniui teikiama kompleksinė, nuolatinės priežiūros reikalaujanti pagalba. Asmeniui be sunkios negalios socialinės globos paslaugos yra finansuojamos iš savivaldybės biudžeto lėšų, o socialinė globa asmenims su sunkia negalia finansuojama iš valstybės biudžeto specialiųjų tikslinių dotacijų savivaldybių biudžetams. Ilgalaikės (trumpalaikės) socialinės globos paslaugos teikiamos (perkamos) tiesiogiai sudarant trišales lėšų kompensavimo sutartis su valstybės globos namais, kitų savivaldybių pavaldžiomis įstaigomis ir NVO.</t>
  </si>
  <si>
    <t>08.01.02.10</t>
  </si>
  <si>
    <t>Būsto ir aplinkos pritaikymas neįgaliesiems</t>
  </si>
  <si>
    <t>08.01.02.11</t>
  </si>
  <si>
    <t xml:space="preserve">Transporto paslaugų neįgaliesiems organizavimas </t>
  </si>
  <si>
    <t>Transporto paslaugų teikimas Vilniaus rajono savivaldybės teritorijoje gyvenantiems asmenims turintiems negalią bei nefrologiniams ligoniams, pagal patvirtintą programos įgyvendinimo planą.</t>
  </si>
  <si>
    <t>08.01.02.13</t>
  </si>
  <si>
    <t>Socialinių paslaugų teikimas seniūnijose</t>
  </si>
  <si>
    <t>Soc. darbo organizatorių (seniūnijos) išlaikymas</t>
  </si>
  <si>
    <t>08.01.02.14</t>
  </si>
  <si>
    <t>Integrali pagalba (dienos socialinės globos ir slaugos asmens namuose teikimas)</t>
  </si>
  <si>
    <t>Dienos socialinės globos ir slaugos asmens namuose teikimas</t>
  </si>
  <si>
    <t>Juodšilių bendr. soc. paslaugų centras</t>
  </si>
  <si>
    <t>08.01.02.15</t>
  </si>
  <si>
    <t>Šeimos ir vaiko gerovės centro išlaikymas</t>
  </si>
  <si>
    <t>08.01.02.16</t>
  </si>
  <si>
    <t>Vilniaus rajono Socialinių paslaugų centro išlaikymas</t>
  </si>
  <si>
    <t>Centro veiklos užtikrinimas, pagalbos į namus teikimas, paramos maisto produktais labiausiai skurstantiems asmenims  bei aprūpinimo techninės pagalbos priemonėmis  organizavimas</t>
  </si>
  <si>
    <t>08.01.02.17</t>
  </si>
  <si>
    <t>Kuosinės socialinės globos namų išlaikymas</t>
  </si>
  <si>
    <t>08.01.02.18</t>
  </si>
  <si>
    <t>Autobuso neįgaliesiems įsigijimas ir bendra eksploatacija su Šalčininkų rajonu</t>
  </si>
  <si>
    <t>Vykdant Šalčininkai+ funkcinės zonos plėtros strategijos priemones planuojama įsigyti ne mažiau 40 vietų autobusą pritaikytą vežti neįgaliuosius</t>
  </si>
  <si>
    <t>2021 -2023</t>
  </si>
  <si>
    <t>VB, SB, ES</t>
  </si>
  <si>
    <t>08.01.02.19</t>
  </si>
  <si>
    <t xml:space="preserve">Asmeninės pagalbos teikimas neįgaliesiems </t>
  </si>
  <si>
    <t>Asmeninis asistentas teikia neįgaliesiems individualią pagalbą  jų namuose bei viešoje aplinkoje, padeda  užmegzti ir palaikyti socialinius ryšius, skatindamas asmens savarankiškumą.</t>
  </si>
  <si>
    <t>Teikti socialines paslaugas - iš viso:</t>
  </si>
  <si>
    <t>08.01.03.03</t>
  </si>
  <si>
    <t>Socialinių paslaugų plėtra (Paberžės socialinės globos namai)</t>
  </si>
  <si>
    <t>Paberžės socialinių globos namų remontas, socialinių paslaugų plėtra, priestato statyba</t>
  </si>
  <si>
    <t>2016 -2025</t>
  </si>
  <si>
    <t>Paberžės soc. paslaugų namai</t>
  </si>
  <si>
    <t>08.01.03.08</t>
  </si>
  <si>
    <t>Bendruomeninių apgyvendinimo bei užimtumo paslaugų asmenims su proto ir (arba) psichikos negalia plėtra Vilniaus rajone</t>
  </si>
  <si>
    <t>Socialinės infrastruktūros plėtra Vilniaus rajone (grupinio gyvenimo namų asmenims su proto ir psichikos negalia Didžiosios Riešės k., ir Pikeliškių k.,  Riešės sen. bei socialinių dirbtuvių/dienos užimtumo centro įrengimas Didžiosios Riešės k., Riešės sen.)</t>
  </si>
  <si>
    <t>2020 -2025</t>
  </si>
  <si>
    <t>ES, SB, VB</t>
  </si>
  <si>
    <t>08.01.03.09</t>
  </si>
  <si>
    <t>Kompleksinės paslaugos Vilniaus rajono šeimoms</t>
  </si>
  <si>
    <t>Psichosocialinės, mediacijos, tėvų mokymų paslaugos Vilniaus rajono šeimoms, šių paslaugų organizavimas ir koordinavimas</t>
  </si>
  <si>
    <t>VB, ES</t>
  </si>
  <si>
    <t>08.01.03.10</t>
  </si>
  <si>
    <t>Bendruomeninių vaikų globos namų tinklo plėtra Vilniaus rajono savivaldybėje</t>
  </si>
  <si>
    <t>Bendruomeninių vaikų globos namų įrengimas</t>
  </si>
  <si>
    <t>2020 -2023</t>
  </si>
  <si>
    <t>ES, Partnerio lėšos</t>
  </si>
  <si>
    <t>08.01.03.11</t>
  </si>
  <si>
    <t>Vaikų dienos centrų tinklo plėtra Vilniaus rajono savivaldybėje</t>
  </si>
  <si>
    <t>Projekto įgyvendinimo metu bus suremontuotos II aukšto patalpos adresu: Vilniaus r. sav., Nemenčinės m., Bažnyčios g. 21. Viso VDC plotas 120 kv. m., iš jų 72,59 kv. m., remontuojami iš ES lėšų, likusią dalį 47,41 kv. m. remontuojami iš savivaldybės lėšų. Šiose patalpose paslaugas gausiančių nuolatinių lankytojų skaičius – 30. Taip pat, bus įrengtas dušas, WC bei liftas/keltuvas.</t>
  </si>
  <si>
    <t>ES, SB</t>
  </si>
  <si>
    <t>08.01.03.12</t>
  </si>
  <si>
    <t>VDC akredituotai vaikų dienos socialinei priežiūrai organizuoti, teikti ir administruoti</t>
  </si>
  <si>
    <t xml:space="preserve">Skatinti ir plėsti dienos socialinę priežiūrą vaikams ir šeimoms teikiančių socialinių paslaugų  įstaigų savivaldybėse veiklą, skiriant lėšas savivaldybėms akredituotai vaikų dienos socialinei priežiūrai organizuoti, teikti ir administruoti </t>
  </si>
  <si>
    <t>SB, VB</t>
  </si>
  <si>
    <t>08.01.03.13</t>
  </si>
  <si>
    <t>Socialinės infrastruktūros plėtra Vilniaus rajone (bendruomeninių vaikų globos namų įrengimas Karklėnų k., Šatrininkų sen.</t>
  </si>
  <si>
    <t>Soc. infrastruktūros plėtrai rengiama techninė dokumentacija bei statomi/rekonstruojami namai</t>
  </si>
  <si>
    <t>VB, ES, SB</t>
  </si>
  <si>
    <t>08.01.03.14</t>
  </si>
  <si>
    <t>Neįgaliųjų dienos užimtumo centro įrengimas Vilniaus r. sav., Pagirių sen., Keturiasdešimt Totorių k., Vytauto g. 24</t>
  </si>
  <si>
    <t xml:space="preserve">Neįgaliųjų dienos užimtumo centro įrengimas </t>
  </si>
  <si>
    <t>2023-2025</t>
  </si>
  <si>
    <t>08.01.03.15</t>
  </si>
  <si>
    <t xml:space="preserve">Dienos socialinės globos centro vaikams su negalia įrengimas Vilniaus r. sav. Sudervės sen., Putiniškių k. </t>
  </si>
  <si>
    <t xml:space="preserve"> Dienos socialinės globos centro vaikams su negalia statyba ir įrengimas.</t>
  </si>
  <si>
    <t>2023 -2025</t>
  </si>
  <si>
    <t>08.01.03.16</t>
  </si>
  <si>
    <t>Socialinės globos namų senyvo amžiaus žmonėms įrengimas Vilniaus r. sav. Rukainių sen. Senasalio kaime</t>
  </si>
  <si>
    <t>Socialinių paslaugų plėtra. Socialinės globos senyvo amžiaus žmonėms  statyba ir įrengimas</t>
  </si>
  <si>
    <t>Plėtoti teikiamas socialinės apsaugos paslaugas ir gerinti jų kokybę - iš viso:</t>
  </si>
  <si>
    <t>08.01.04</t>
  </si>
  <si>
    <t>08.01.04.01</t>
  </si>
  <si>
    <t>Užimtumo didinimo programos vykdymas</t>
  </si>
  <si>
    <t>Užimtumo didinimo programa skirta didinti Vilniaus rajono gyventojų užimtumą</t>
  </si>
  <si>
    <t>Padėti bedarbiams grįžti į darbo rinką - iš viso:</t>
  </si>
  <si>
    <t>Didinti socialiai remtinų asmenų integraciją į visuomenę ir mažinti socialinę atskirtį - iš viso:</t>
  </si>
  <si>
    <t xml:space="preserve">                                                                                                                                                                                                                                                                                                                                                                                                                                                                   1 lentelė                                                                                                                                                                                                                                                                                                                                                                                                                                                                                        
2023-2025 METŲ VILNIAUS RAJONO SAVIVALDYBĖS SOCIALINĖS ATSKIRTIES MAŽINIMO PROGRAMOS NR. 08 2023 METŲ ĮGYVENDINIMO ATASKAITA</t>
  </si>
  <si>
    <t>PATVIRTINTA
Vilniaus rajono 
savivaldybės tarybos
2024 m. gruodžio 20 d. 
sprendimu Nr. T3-380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</si>
</sst>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7" x14ac:knownFonts="1">
    <font>
      <sz val="11"/>
      <color indexed="8"/>
      <name val="Calibri"/>
      <family val="2"/>
      <charset val="186"/>
    </font>
    <font>
      <sz val="9"/>
      <name val="Calibri"/>
      <family val="2"/>
    </font>
    <font>
      <b/>
      <sz val="11"/>
      <name val="Calibri"/>
      <family val="2"/>
    </font>
    <font>
      <sz val="9"/>
      <name val="Calibri"/>
      <family val="1"/>
      <charset val="186"/>
    </font>
    <font>
      <b/>
      <sz val="9"/>
      <name val="Times New Roman"/>
      <family val="1"/>
      <charset val="186"/>
    </font>
    <font>
      <b/>
      <sz val="8"/>
      <name val="Calibri"/>
      <family val="2"/>
    </font>
    <font>
      <sz val="8"/>
      <name val="Calibri"/>
      <family val="2"/>
    </font>
    <font>
      <b/>
      <sz val="9"/>
      <name val="Calibri"/>
      <family val="2"/>
    </font>
    <font>
      <sz val="7"/>
      <name val="Calibri"/>
      <family val="2"/>
    </font>
    <font>
      <b/>
      <sz val="8"/>
      <name val="Calibri"/>
      <family val="2"/>
      <scheme val="minor"/>
    </font>
    <font>
      <sz val="8"/>
      <name val="Calibri"/>
      <family val="2"/>
      <scheme val="minor"/>
    </font>
    <font>
      <sz val="8"/>
      <color theme="1"/>
      <name val="Calibri"/>
      <family val="2"/>
      <scheme val="minor"/>
    </font>
    <font>
      <sz val="9"/>
      <name val="Calibri"/>
      <family val="2"/>
      <charset val="186"/>
      <scheme val="minor"/>
    </font>
    <font>
      <sz val="8"/>
      <name val="Calibri"/>
      <family val="2"/>
      <charset val="186"/>
      <scheme val="minor"/>
    </font>
    <font>
      <sz val="8"/>
      <color indexed="8"/>
      <name val="Calibri"/>
      <family val="2"/>
      <charset val="186"/>
      <scheme val="minor"/>
    </font>
    <font>
      <sz val="8"/>
      <color indexed="8"/>
      <name val="Calibri"/>
      <family val="2"/>
      <charset val="186"/>
    </font>
    <font>
      <sz val="8"/>
      <name val="Calibri"/>
      <family val="2"/>
      <charset val="186"/>
    </font>
  </fonts>
  <fills count="9">
    <fill>
      <patternFill patternType="none"/>
    </fill>
    <fill>
      <patternFill patternType="gray125"/>
    </fill>
    <fill>
      <patternFill patternType="solid">
        <fgColor rgb="FFFFCC00"/>
        <bgColor indexed="64"/>
      </patternFill>
    </fill>
    <fill>
      <patternFill patternType="solid">
        <fgColor rgb="FFFFFF99"/>
        <bgColor indexed="64"/>
      </patternFill>
    </fill>
    <fill>
      <patternFill patternType="solid">
        <fgColor rgb="FFFF9900"/>
        <bgColor indexed="64"/>
      </patternFill>
    </fill>
    <fill>
      <patternFill patternType="solid">
        <fgColor rgb="FFFFAA00"/>
        <bgColor indexed="64"/>
      </patternFill>
    </fill>
    <fill>
      <patternFill patternType="solid">
        <fgColor rgb="FFFF8800"/>
        <bgColor indexed="64"/>
      </patternFill>
    </fill>
    <fill>
      <patternFill patternType="solid">
        <fgColor theme="0"/>
        <bgColor indexed="64"/>
      </patternFill>
    </fill>
    <fill>
      <patternFill patternType="solid">
        <fgColor theme="0"/>
        <bgColor rgb="FFFFFF00"/>
      </patternFill>
    </fill>
  </fills>
  <borders count="4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medium">
        <color indexed="0"/>
      </left>
      <right style="medium">
        <color indexed="0"/>
      </right>
      <top style="medium">
        <color indexed="0"/>
      </top>
      <bottom style="thin">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hair">
        <color indexed="0"/>
      </right>
      <top style="thin">
        <color indexed="0"/>
      </top>
      <bottom style="hair">
        <color indexed="0"/>
      </bottom>
      <diagonal/>
    </border>
    <border>
      <left style="hair">
        <color indexed="0"/>
      </left>
      <right style="thin">
        <color indexed="0"/>
      </right>
      <top style="thin">
        <color indexed="0"/>
      </top>
      <bottom style="hair">
        <color indexed="0"/>
      </bottom>
      <diagonal/>
    </border>
    <border>
      <left style="thin">
        <color indexed="0"/>
      </left>
      <right style="thin">
        <color indexed="0"/>
      </right>
      <top style="hair">
        <color indexed="0"/>
      </top>
      <bottom style="thin">
        <color indexed="0"/>
      </bottom>
      <diagonal/>
    </border>
    <border>
      <left style="medium">
        <color indexed="0"/>
      </left>
      <right style="thin">
        <color indexed="0"/>
      </right>
      <top style="thin">
        <color indexed="0"/>
      </top>
      <bottom style="medium">
        <color indexed="0"/>
      </bottom>
      <diagonal/>
    </border>
    <border>
      <left style="medium">
        <color indexed="0"/>
      </left>
      <right style="thin">
        <color indexed="0"/>
      </right>
      <top style="thin">
        <color indexed="0"/>
      </top>
      <bottom/>
      <diagonal/>
    </border>
    <border>
      <left style="thin">
        <color indexed="0"/>
      </left>
      <right style="thin">
        <color indexed="0"/>
      </right>
      <top style="thin">
        <color indexed="0"/>
      </top>
      <bottom style="medium">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style="medium">
        <color indexed="0"/>
      </bottom>
      <diagonal/>
    </border>
    <border>
      <left style="medium">
        <color indexed="0"/>
      </left>
      <right style="thin">
        <color indexed="0"/>
      </right>
      <top style="medium">
        <color indexed="0"/>
      </top>
      <bottom style="medium">
        <color indexed="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0"/>
      </bottom>
      <diagonal/>
    </border>
    <border>
      <left/>
      <right/>
      <top style="thin">
        <color indexed="0"/>
      </top>
      <bottom/>
      <diagonal/>
    </border>
    <border>
      <left/>
      <right/>
      <top style="thin">
        <color indexed="64"/>
      </top>
      <bottom style="thin">
        <color indexed="64"/>
      </bottom>
      <diagonal/>
    </border>
    <border>
      <left style="thin">
        <color indexed="0"/>
      </left>
      <right style="thin">
        <color indexed="0"/>
      </right>
      <top style="medium">
        <color indexed="0"/>
      </top>
      <bottom/>
      <diagonal/>
    </border>
    <border>
      <left style="thin">
        <color indexed="0"/>
      </left>
      <right style="thin">
        <color indexed="0"/>
      </right>
      <top/>
      <bottom style="thin">
        <color indexed="0"/>
      </bottom>
      <diagonal/>
    </border>
    <border>
      <left style="thin">
        <color indexed="0"/>
      </left>
      <right style="thin">
        <color indexed="0"/>
      </right>
      <top/>
      <bottom/>
      <diagonal/>
    </border>
    <border>
      <left style="thin">
        <color indexed="0"/>
      </left>
      <right style="thin">
        <color indexed="0"/>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52">
    <xf numFmtId="0" fontId="0" fillId="0" borderId="0"/>
    <xf numFmtId="0" fontId="1" fillId="0" borderId="0">
      <alignment vertical="top" wrapText="1"/>
    </xf>
    <xf numFmtId="0" fontId="2" fillId="0" borderId="0">
      <alignment horizontal="left" vertical="center" wrapText="1"/>
    </xf>
    <xf numFmtId="0" fontId="2" fillId="0" borderId="0">
      <alignment horizontal="center" vertical="center" wrapText="1"/>
    </xf>
    <xf numFmtId="0" fontId="5" fillId="2" borderId="1">
      <alignment horizontal="center" vertical="center" textRotation="90" wrapText="1"/>
    </xf>
    <xf numFmtId="0" fontId="6" fillId="3" borderId="2">
      <alignment horizontal="center" vertical="center" textRotation="90" wrapText="1"/>
    </xf>
    <xf numFmtId="0" fontId="7" fillId="4" borderId="2">
      <alignment horizontal="center" vertical="center" wrapText="1"/>
    </xf>
    <xf numFmtId="0" fontId="1" fillId="4" borderId="2">
      <alignment horizontal="center" vertical="center" wrapText="1"/>
    </xf>
    <xf numFmtId="0" fontId="1" fillId="4" borderId="2">
      <alignment horizontal="center" vertical="center" textRotation="90" wrapText="1"/>
    </xf>
    <xf numFmtId="0" fontId="1" fillId="4" borderId="2">
      <alignment horizontal="center" vertical="center" wrapText="1"/>
    </xf>
    <xf numFmtId="0" fontId="1" fillId="4" borderId="2">
      <alignment horizontal="center" vertical="center" wrapText="1"/>
    </xf>
    <xf numFmtId="0" fontId="7" fillId="5" borderId="3">
      <alignment horizontal="center" vertical="center" wrapText="1"/>
    </xf>
    <xf numFmtId="0" fontId="5" fillId="6" borderId="3">
      <alignment horizontal="center" vertical="center" wrapText="1"/>
    </xf>
    <xf numFmtId="0" fontId="6" fillId="2" borderId="4">
      <alignment horizontal="center" vertical="center" wrapText="1"/>
    </xf>
    <xf numFmtId="0" fontId="6" fillId="2" borderId="5">
      <alignment horizontal="center" vertical="center" wrapText="1"/>
    </xf>
    <xf numFmtId="0" fontId="6" fillId="6" borderId="5">
      <alignment horizontal="center" vertical="center" wrapText="1"/>
    </xf>
    <xf numFmtId="0" fontId="6" fillId="5" borderId="4">
      <alignment horizontal="center" vertical="center" wrapText="1"/>
    </xf>
    <xf numFmtId="0" fontId="6" fillId="5" borderId="6">
      <alignment horizontal="center" vertical="center" wrapText="1"/>
    </xf>
    <xf numFmtId="0" fontId="1" fillId="2" borderId="5">
      <alignment horizontal="center" vertical="center" wrapText="1"/>
    </xf>
    <xf numFmtId="0" fontId="1" fillId="2" borderId="5">
      <alignment horizontal="center" vertical="center" wrapText="1"/>
    </xf>
    <xf numFmtId="0" fontId="1" fillId="2" borderId="5">
      <alignment horizontal="center" vertical="center" wrapText="1"/>
    </xf>
    <xf numFmtId="0" fontId="6" fillId="2" borderId="5">
      <alignment horizontal="center" vertical="center" wrapText="1"/>
    </xf>
    <xf numFmtId="0" fontId="6" fillId="4" borderId="5">
      <alignment horizontal="center" vertical="center" wrapText="1"/>
    </xf>
    <xf numFmtId="0" fontId="6" fillId="5" borderId="6">
      <alignment horizontal="center" vertical="center" wrapText="1"/>
    </xf>
    <xf numFmtId="0" fontId="6" fillId="2" borderId="7">
      <alignment horizontal="left" vertical="center" wrapText="1"/>
    </xf>
    <xf numFmtId="0" fontId="6" fillId="2" borderId="8">
      <alignment horizontal="right" vertical="center" wrapText="1"/>
    </xf>
    <xf numFmtId="0" fontId="6" fillId="2" borderId="5">
      <alignment horizontal="center" vertical="center"/>
    </xf>
    <xf numFmtId="0" fontId="6" fillId="2" borderId="9">
      <alignment horizontal="center" vertical="center" wrapText="1"/>
    </xf>
    <xf numFmtId="0" fontId="6" fillId="5" borderId="4">
      <alignment horizontal="center" vertical="center" wrapText="1"/>
    </xf>
    <xf numFmtId="0" fontId="8" fillId="0" borderId="10">
      <alignment horizontal="center" vertical="center" wrapText="1"/>
    </xf>
    <xf numFmtId="0" fontId="8" fillId="0" borderId="12">
      <alignment horizontal="center" vertical="center" wrapText="1"/>
    </xf>
    <xf numFmtId="0" fontId="8" fillId="0" borderId="14">
      <alignment horizontal="center" vertical="center" wrapText="1"/>
    </xf>
    <xf numFmtId="0" fontId="6" fillId="2" borderId="15">
      <alignment horizontal="center" vertical="center" wrapText="1"/>
    </xf>
    <xf numFmtId="0" fontId="6" fillId="3" borderId="5">
      <alignment horizontal="center" vertical="center" wrapText="1"/>
    </xf>
    <xf numFmtId="0" fontId="6" fillId="0" borderId="5">
      <alignment horizontal="center" vertical="center" wrapText="1"/>
    </xf>
    <xf numFmtId="0" fontId="6" fillId="0" borderId="5">
      <alignment horizontal="left" vertical="center" wrapText="1"/>
    </xf>
    <xf numFmtId="0" fontId="6" fillId="0" borderId="4">
      <alignment horizontal="left" vertical="center" wrapText="1"/>
    </xf>
    <xf numFmtId="0" fontId="6" fillId="0" borderId="7">
      <alignment horizontal="center" vertical="center" wrapText="1"/>
    </xf>
    <xf numFmtId="0" fontId="6" fillId="0" borderId="8">
      <alignment horizontal="center" vertical="center" wrapText="1"/>
    </xf>
    <xf numFmtId="0" fontId="6" fillId="0" borderId="4">
      <alignment horizontal="right" vertical="center" wrapText="1"/>
    </xf>
    <xf numFmtId="0" fontId="5" fillId="0" borderId="6">
      <alignment horizontal="left" vertical="center" wrapText="1"/>
    </xf>
    <xf numFmtId="0" fontId="6" fillId="0" borderId="5">
      <alignment horizontal="center" vertical="center" wrapText="1"/>
    </xf>
    <xf numFmtId="0" fontId="6" fillId="0" borderId="6">
      <alignment horizontal="right" vertical="center" wrapText="1"/>
    </xf>
    <xf numFmtId="0" fontId="6" fillId="3" borderId="5">
      <alignment horizontal="right" vertical="center" wrapText="1"/>
    </xf>
    <xf numFmtId="0" fontId="5" fillId="3" borderId="5">
      <alignment horizontal="center" vertical="center" wrapText="1"/>
    </xf>
    <xf numFmtId="0" fontId="6" fillId="3" borderId="4">
      <alignment horizontal="left" vertical="center" wrapText="1"/>
    </xf>
    <xf numFmtId="0" fontId="6" fillId="2" borderId="12">
      <alignment horizontal="right" vertical="center" wrapText="1"/>
    </xf>
    <xf numFmtId="0" fontId="5" fillId="2" borderId="12">
      <alignment horizontal="center" vertical="center" wrapText="1"/>
    </xf>
    <xf numFmtId="0" fontId="6" fillId="2" borderId="4">
      <alignment horizontal="left" vertical="center" wrapText="1"/>
    </xf>
    <xf numFmtId="0" fontId="1" fillId="0" borderId="0">
      <alignment horizontal="center" vertical="center" wrapText="1"/>
    </xf>
    <xf numFmtId="0" fontId="1" fillId="0" borderId="27">
      <alignment horizontal="center" vertical="center" wrapText="1"/>
    </xf>
    <xf numFmtId="0" fontId="6" fillId="0" borderId="28">
      <alignment horizontal="center" vertical="center" wrapText="1"/>
    </xf>
  </cellStyleXfs>
  <cellXfs count="99">
    <xf numFmtId="0" fontId="0" fillId="0" borderId="0" xfId="0"/>
    <xf numFmtId="0" fontId="1" fillId="0" borderId="0" xfId="1">
      <alignment vertical="top" wrapText="1"/>
    </xf>
    <xf numFmtId="0" fontId="2" fillId="0" borderId="0" xfId="3">
      <alignment horizontal="center" vertical="center" wrapText="1"/>
    </xf>
    <xf numFmtId="0" fontId="10" fillId="0" borderId="11" xfId="29" applyFont="1" applyBorder="1">
      <alignment horizontal="center" vertical="center" wrapText="1"/>
    </xf>
    <xf numFmtId="0" fontId="10" fillId="0" borderId="13" xfId="30" applyFont="1" applyBorder="1">
      <alignment horizontal="center" vertical="center" wrapText="1"/>
    </xf>
    <xf numFmtId="164" fontId="9" fillId="3" borderId="16" xfId="44" applyNumberFormat="1" applyFont="1" applyBorder="1">
      <alignment horizontal="center" vertical="center" wrapText="1"/>
    </xf>
    <xf numFmtId="164" fontId="1" fillId="0" borderId="0" xfId="1" applyNumberFormat="1">
      <alignment vertical="top" wrapText="1"/>
    </xf>
    <xf numFmtId="0" fontId="13" fillId="2" borderId="13" xfId="26" applyFont="1" applyBorder="1" applyAlignment="1">
      <alignment horizontal="center" vertical="center" wrapText="1"/>
    </xf>
    <xf numFmtId="0" fontId="10" fillId="7" borderId="16" xfId="34" applyFont="1" applyFill="1" applyBorder="1">
      <alignment horizontal="center" vertical="center" wrapText="1"/>
    </xf>
    <xf numFmtId="164" fontId="10" fillId="7" borderId="17" xfId="34" applyNumberFormat="1" applyFont="1" applyFill="1" applyBorder="1">
      <alignment horizontal="center" vertical="center" wrapText="1"/>
    </xf>
    <xf numFmtId="0" fontId="10" fillId="7" borderId="17" xfId="34" applyFont="1" applyFill="1" applyBorder="1">
      <alignment horizontal="center" vertical="center" wrapText="1"/>
    </xf>
    <xf numFmtId="0" fontId="10" fillId="7" borderId="16" xfId="35" applyFont="1" applyFill="1" applyBorder="1" applyAlignment="1">
      <alignment horizontal="center" vertical="center" wrapText="1"/>
    </xf>
    <xf numFmtId="0" fontId="11" fillId="7" borderId="16" xfId="35" applyFont="1" applyFill="1" applyBorder="1" applyAlignment="1">
      <alignment horizontal="center" vertical="center" wrapText="1"/>
    </xf>
    <xf numFmtId="0" fontId="13" fillId="7" borderId="17" xfId="34" applyFont="1" applyFill="1" applyBorder="1">
      <alignment horizontal="center" vertical="center" wrapText="1"/>
    </xf>
    <xf numFmtId="164" fontId="10" fillId="7" borderId="16" xfId="34" applyNumberFormat="1" applyFont="1" applyFill="1" applyBorder="1">
      <alignment horizontal="center" vertical="center" wrapText="1"/>
    </xf>
    <xf numFmtId="0" fontId="10" fillId="7" borderId="17" xfId="35" applyFont="1" applyFill="1" applyBorder="1" applyAlignment="1">
      <alignment horizontal="center" vertical="center" wrapText="1"/>
    </xf>
    <xf numFmtId="0" fontId="10" fillId="7" borderId="17" xfId="36" applyFont="1" applyFill="1" applyBorder="1" applyAlignment="1">
      <alignment horizontal="center" vertical="center" wrapText="1"/>
    </xf>
    <xf numFmtId="164" fontId="11" fillId="7" borderId="16" xfId="34" applyNumberFormat="1" applyFont="1" applyFill="1" applyBorder="1">
      <alignment horizontal="center" vertical="center" wrapText="1"/>
    </xf>
    <xf numFmtId="0" fontId="10" fillId="7" borderId="16" xfId="35" applyFont="1" applyFill="1" applyBorder="1" applyAlignment="1">
      <alignment horizontal="center" vertical="top" wrapText="1"/>
    </xf>
    <xf numFmtId="164" fontId="10" fillId="7" borderId="16" xfId="41" applyNumberFormat="1" applyFont="1" applyFill="1" applyBorder="1">
      <alignment horizontal="center" vertical="center" wrapText="1"/>
    </xf>
    <xf numFmtId="164" fontId="10" fillId="0" borderId="17" xfId="34" applyNumberFormat="1" applyFont="1" applyBorder="1">
      <alignment horizontal="center" vertical="center" wrapText="1"/>
    </xf>
    <xf numFmtId="0" fontId="1" fillId="7" borderId="0" xfId="1" applyFill="1">
      <alignment vertical="top" wrapText="1"/>
    </xf>
    <xf numFmtId="164" fontId="9" fillId="2" borderId="16" xfId="47" applyNumberFormat="1" applyFont="1" applyBorder="1">
      <alignment horizontal="center" vertical="center" wrapText="1"/>
    </xf>
    <xf numFmtId="164" fontId="6" fillId="8" borderId="5" xfId="34" applyNumberFormat="1" applyFill="1">
      <alignment horizontal="center" vertical="center" wrapText="1"/>
    </xf>
    <xf numFmtId="164" fontId="11" fillId="0" borderId="17" xfId="34" applyNumberFormat="1" applyFont="1" applyBorder="1">
      <alignment horizontal="center" vertical="center" wrapText="1"/>
    </xf>
    <xf numFmtId="0" fontId="14" fillId="7" borderId="16" xfId="0" applyFont="1" applyFill="1" applyBorder="1" applyAlignment="1">
      <alignment horizontal="center" vertical="center" wrapText="1"/>
    </xf>
    <xf numFmtId="164" fontId="11" fillId="7" borderId="17" xfId="34" applyNumberFormat="1" applyFont="1" applyFill="1" applyBorder="1">
      <alignment horizontal="center" vertical="center" wrapText="1"/>
    </xf>
    <xf numFmtId="0" fontId="15" fillId="7" borderId="16" xfId="0" applyFont="1" applyFill="1" applyBorder="1" applyAlignment="1">
      <alignment horizontal="center" vertical="center" wrapText="1"/>
    </xf>
    <xf numFmtId="4" fontId="10" fillId="7" borderId="16" xfId="37" applyNumberFormat="1" applyFont="1" applyFill="1" applyBorder="1">
      <alignment horizontal="center" vertical="center" wrapText="1"/>
    </xf>
    <xf numFmtId="4" fontId="10" fillId="7" borderId="16" xfId="34" applyNumberFormat="1" applyFont="1" applyFill="1" applyBorder="1">
      <alignment horizontal="center" vertical="center" wrapText="1"/>
    </xf>
    <xf numFmtId="164" fontId="10" fillId="0" borderId="16" xfId="34" applyNumberFormat="1" applyFont="1" applyBorder="1">
      <alignment horizontal="center" vertical="center" wrapText="1"/>
    </xf>
    <xf numFmtId="4" fontId="10" fillId="0" borderId="16" xfId="37" applyNumberFormat="1" applyFont="1" applyBorder="1">
      <alignment horizontal="center" vertical="center" wrapText="1"/>
    </xf>
    <xf numFmtId="164" fontId="10" fillId="0" borderId="16" xfId="41" applyNumberFormat="1" applyFont="1" applyBorder="1">
      <alignment horizontal="center" vertical="center" wrapText="1"/>
    </xf>
    <xf numFmtId="164" fontId="11" fillId="0" borderId="16" xfId="34" applyNumberFormat="1" applyFont="1" applyBorder="1">
      <alignment horizontal="center" vertical="center" wrapText="1"/>
    </xf>
    <xf numFmtId="4" fontId="1" fillId="0" borderId="0" xfId="1" applyNumberFormat="1">
      <alignment vertical="top" wrapText="1"/>
    </xf>
    <xf numFmtId="164" fontId="6" fillId="7" borderId="5" xfId="34" applyNumberFormat="1" applyFill="1">
      <alignment horizontal="center" vertical="center" wrapText="1"/>
    </xf>
    <xf numFmtId="0" fontId="6" fillId="0" borderId="0" xfId="51" applyBorder="1">
      <alignment horizontal="center" vertical="center" wrapText="1"/>
    </xf>
    <xf numFmtId="164" fontId="9" fillId="3" borderId="16" xfId="44" applyNumberFormat="1" applyFont="1" applyBorder="1">
      <alignment horizontal="center" vertical="center" wrapText="1"/>
    </xf>
    <xf numFmtId="0" fontId="10" fillId="7" borderId="17" xfId="34" applyFont="1" applyFill="1" applyBorder="1">
      <alignment horizontal="center" vertical="center" wrapText="1"/>
    </xf>
    <xf numFmtId="0" fontId="10" fillId="7" borderId="18" xfId="34" applyFont="1" applyFill="1" applyBorder="1">
      <alignment horizontal="center" vertical="center" wrapText="1"/>
    </xf>
    <xf numFmtId="0" fontId="1" fillId="7" borderId="0" xfId="49" applyFill="1">
      <alignment horizontal="center" vertical="center" wrapText="1"/>
    </xf>
    <xf numFmtId="0" fontId="1" fillId="0" borderId="0" xfId="50" applyBorder="1">
      <alignment horizontal="center" vertical="center" wrapText="1"/>
    </xf>
    <xf numFmtId="0" fontId="10" fillId="2" borderId="20" xfId="46" applyFont="1" applyBorder="1" applyAlignment="1">
      <alignment horizontal="center" vertical="center" wrapText="1"/>
    </xf>
    <xf numFmtId="0" fontId="10" fillId="2" borderId="16" xfId="46" applyFont="1" applyBorder="1" applyAlignment="1">
      <alignment horizontal="center" vertical="center" wrapText="1"/>
    </xf>
    <xf numFmtId="0" fontId="10" fillId="2" borderId="43" xfId="32" applyFont="1" applyBorder="1">
      <alignment horizontal="center" vertical="center" wrapText="1"/>
    </xf>
    <xf numFmtId="0" fontId="10" fillId="3" borderId="20" xfId="33" applyFont="1" applyBorder="1">
      <alignment horizontal="center" vertical="center" wrapText="1"/>
    </xf>
    <xf numFmtId="0" fontId="10" fillId="7" borderId="24" xfId="34" applyFont="1" applyFill="1" applyBorder="1">
      <alignment horizontal="center" vertical="center" wrapText="1"/>
    </xf>
    <xf numFmtId="0" fontId="10" fillId="7" borderId="17" xfId="35" applyFont="1" applyFill="1" applyBorder="1" applyAlignment="1">
      <alignment horizontal="center" vertical="center" wrapText="1"/>
    </xf>
    <xf numFmtId="0" fontId="10" fillId="7" borderId="24" xfId="35" applyFont="1" applyFill="1" applyBorder="1" applyAlignment="1">
      <alignment horizontal="center" vertical="center" wrapText="1"/>
    </xf>
    <xf numFmtId="164" fontId="10" fillId="7" borderId="17" xfId="34" applyNumberFormat="1" applyFont="1" applyFill="1" applyBorder="1">
      <alignment horizontal="center" vertical="center" wrapText="1"/>
    </xf>
    <xf numFmtId="164" fontId="10" fillId="7" borderId="18" xfId="34" applyNumberFormat="1" applyFont="1" applyFill="1" applyBorder="1">
      <alignment horizontal="center" vertical="center" wrapText="1"/>
    </xf>
    <xf numFmtId="0" fontId="10" fillId="7" borderId="19" xfId="35" applyFont="1" applyFill="1" applyBorder="1" applyAlignment="1">
      <alignment horizontal="center" vertical="center" wrapText="1"/>
    </xf>
    <xf numFmtId="0" fontId="10" fillId="7" borderId="43" xfId="35" applyFont="1" applyFill="1" applyBorder="1" applyAlignment="1">
      <alignment horizontal="center" vertical="center" wrapText="1"/>
    </xf>
    <xf numFmtId="0" fontId="10" fillId="7" borderId="43" xfId="34" applyFont="1" applyFill="1" applyBorder="1">
      <alignment horizontal="center" vertical="center" wrapText="1"/>
    </xf>
    <xf numFmtId="0" fontId="9" fillId="2" borderId="1" xfId="4" applyFont="1">
      <alignment horizontal="center" vertical="center" textRotation="90" wrapText="1"/>
    </xf>
    <xf numFmtId="0" fontId="10" fillId="3" borderId="2" xfId="5" applyFont="1">
      <alignment horizontal="center" vertical="center" textRotation="90" wrapText="1"/>
    </xf>
    <xf numFmtId="0" fontId="9" fillId="4" borderId="2" xfId="6" applyFont="1">
      <alignment horizontal="center" vertical="center" wrapText="1"/>
    </xf>
    <xf numFmtId="0" fontId="12" fillId="4" borderId="30" xfId="8" applyFont="1" applyBorder="1">
      <alignment horizontal="center" vertical="center" textRotation="90" wrapText="1"/>
    </xf>
    <xf numFmtId="0" fontId="12" fillId="4" borderId="32" xfId="8" applyFont="1" applyBorder="1">
      <alignment horizontal="center" vertical="center" textRotation="90" wrapText="1"/>
    </xf>
    <xf numFmtId="0" fontId="12" fillId="4" borderId="33" xfId="8" applyFont="1" applyBorder="1">
      <alignment horizontal="center" vertical="center" textRotation="90" wrapText="1"/>
    </xf>
    <xf numFmtId="0" fontId="10" fillId="3" borderId="19" xfId="43" applyFont="1" applyBorder="1" applyAlignment="1">
      <alignment horizontal="center" vertical="center" wrapText="1"/>
    </xf>
    <xf numFmtId="0" fontId="10" fillId="3" borderId="29" xfId="43" applyFont="1" applyBorder="1" applyAlignment="1">
      <alignment horizontal="center" vertical="center" wrapText="1"/>
    </xf>
    <xf numFmtId="0" fontId="10" fillId="3" borderId="20" xfId="43" applyFont="1" applyBorder="1" applyAlignment="1">
      <alignment horizontal="center" vertical="center" wrapText="1"/>
    </xf>
    <xf numFmtId="0" fontId="10" fillId="3" borderId="16" xfId="43" applyFont="1" applyBorder="1" applyAlignment="1">
      <alignment horizontal="center" vertical="center" wrapText="1"/>
    </xf>
    <xf numFmtId="0" fontId="10" fillId="3" borderId="18" xfId="43" applyFont="1" applyBorder="1" applyAlignment="1">
      <alignment horizontal="center" vertical="center" wrapText="1"/>
    </xf>
    <xf numFmtId="0" fontId="10" fillId="7" borderId="16" xfId="34" applyFont="1" applyFill="1" applyBorder="1">
      <alignment horizontal="center" vertical="center" wrapText="1"/>
    </xf>
    <xf numFmtId="0" fontId="10" fillId="3" borderId="21" xfId="43" applyFont="1" applyBorder="1" applyAlignment="1">
      <alignment horizontal="center" vertical="center" wrapText="1"/>
    </xf>
    <xf numFmtId="0" fontId="10" fillId="3" borderId="22" xfId="43" applyFont="1" applyBorder="1" applyAlignment="1">
      <alignment horizontal="center" vertical="center" wrapText="1"/>
    </xf>
    <xf numFmtId="0" fontId="10" fillId="3" borderId="23" xfId="43" applyFont="1" applyBorder="1" applyAlignment="1">
      <alignment horizontal="center" vertical="center" wrapText="1"/>
    </xf>
    <xf numFmtId="0" fontId="10" fillId="3" borderId="25" xfId="43" applyFont="1" applyBorder="1" applyAlignment="1">
      <alignment horizontal="center" vertical="center" wrapText="1"/>
    </xf>
    <xf numFmtId="0" fontId="10" fillId="3" borderId="0" xfId="43" applyFont="1" applyBorder="1" applyAlignment="1">
      <alignment horizontal="center" vertical="center" wrapText="1"/>
    </xf>
    <xf numFmtId="0" fontId="10" fillId="3" borderId="26" xfId="43" applyFont="1" applyBorder="1" applyAlignment="1">
      <alignment horizontal="center" vertical="center" wrapText="1"/>
    </xf>
    <xf numFmtId="0" fontId="13" fillId="7" borderId="17" xfId="34" applyFont="1" applyFill="1" applyBorder="1">
      <alignment horizontal="center" vertical="center" wrapText="1"/>
    </xf>
    <xf numFmtId="0" fontId="13" fillId="7" borderId="24" xfId="34" applyFont="1" applyFill="1" applyBorder="1">
      <alignment horizontal="center" vertical="center" wrapText="1"/>
    </xf>
    <xf numFmtId="164" fontId="10" fillId="7" borderId="24" xfId="34" applyNumberFormat="1" applyFont="1" applyFill="1" applyBorder="1">
      <alignment horizontal="center" vertical="center" wrapText="1"/>
    </xf>
    <xf numFmtId="0" fontId="10" fillId="7" borderId="18" xfId="35" applyFont="1" applyFill="1" applyBorder="1" applyAlignment="1">
      <alignment horizontal="center" vertical="center" wrapText="1"/>
    </xf>
    <xf numFmtId="0" fontId="13" fillId="7" borderId="18" xfId="34" applyFont="1" applyFill="1" applyBorder="1">
      <alignment horizontal="center" vertical="center" wrapText="1"/>
    </xf>
    <xf numFmtId="164" fontId="10" fillId="0" borderId="17" xfId="34" applyNumberFormat="1" applyFont="1" applyBorder="1">
      <alignment horizontal="center" vertical="center" wrapText="1"/>
    </xf>
    <xf numFmtId="164" fontId="10" fillId="0" borderId="18" xfId="34" applyNumberFormat="1" applyFont="1" applyBorder="1">
      <alignment horizontal="center" vertical="center" wrapText="1"/>
    </xf>
    <xf numFmtId="164" fontId="10" fillId="7" borderId="23" xfId="34" applyNumberFormat="1" applyFont="1" applyFill="1" applyBorder="1">
      <alignment horizontal="center" vertical="center" wrapText="1"/>
    </xf>
    <xf numFmtId="164" fontId="10" fillId="7" borderId="34" xfId="34" applyNumberFormat="1" applyFont="1" applyFill="1" applyBorder="1">
      <alignment horizontal="center" vertical="center" wrapText="1"/>
    </xf>
    <xf numFmtId="0" fontId="1" fillId="0" borderId="0" xfId="1" applyAlignment="1">
      <alignment horizontal="left" vertical="top" wrapText="1"/>
    </xf>
    <xf numFmtId="0" fontId="4" fillId="0" borderId="0" xfId="1" applyFont="1" applyAlignment="1">
      <alignment horizontal="right" vertical="center" wrapText="1"/>
    </xf>
    <xf numFmtId="0" fontId="3" fillId="0" borderId="0" xfId="1" applyFont="1" applyAlignment="1">
      <alignment horizontal="right" vertical="center" wrapText="1"/>
    </xf>
    <xf numFmtId="0" fontId="10" fillId="2" borderId="5" xfId="18" applyFont="1">
      <alignment horizontal="center" vertical="center" wrapText="1"/>
    </xf>
    <xf numFmtId="0" fontId="10" fillId="2" borderId="5" xfId="19" applyFont="1">
      <alignment horizontal="center" vertical="center" wrapText="1"/>
    </xf>
    <xf numFmtId="0" fontId="10" fillId="2" borderId="5" xfId="20" applyFont="1">
      <alignment horizontal="center" vertical="center" wrapText="1"/>
    </xf>
    <xf numFmtId="0" fontId="12" fillId="4" borderId="35" xfId="10" applyFont="1" applyBorder="1">
      <alignment horizontal="center" vertical="center" wrapText="1"/>
    </xf>
    <xf numFmtId="0" fontId="12" fillId="4" borderId="37" xfId="10" applyFont="1" applyBorder="1">
      <alignment horizontal="center" vertical="center" wrapText="1"/>
    </xf>
    <xf numFmtId="0" fontId="12" fillId="4" borderId="39" xfId="10" applyFont="1" applyBorder="1">
      <alignment horizontal="center" vertical="center" wrapText="1"/>
    </xf>
    <xf numFmtId="0" fontId="12" fillId="4" borderId="36" xfId="10" applyFont="1" applyBorder="1">
      <alignment horizontal="center" vertical="center" wrapText="1"/>
    </xf>
    <xf numFmtId="0" fontId="12" fillId="4" borderId="38" xfId="10" applyFont="1" applyBorder="1">
      <alignment horizontal="center" vertical="center" wrapText="1"/>
    </xf>
    <xf numFmtId="0" fontId="12" fillId="4" borderId="40" xfId="10" applyFont="1" applyBorder="1">
      <alignment horizontal="center" vertical="center" wrapText="1"/>
    </xf>
    <xf numFmtId="0" fontId="12" fillId="4" borderId="30" xfId="7" applyFont="1" applyBorder="1">
      <alignment horizontal="center" vertical="center" wrapText="1"/>
    </xf>
    <xf numFmtId="0" fontId="12" fillId="4" borderId="32" xfId="7" applyFont="1" applyBorder="1">
      <alignment horizontal="center" vertical="center" wrapText="1"/>
    </xf>
    <xf numFmtId="0" fontId="12" fillId="4" borderId="31" xfId="7" applyFont="1" applyBorder="1">
      <alignment horizontal="center" vertical="center" wrapText="1"/>
    </xf>
    <xf numFmtId="0" fontId="12" fillId="4" borderId="41" xfId="10" applyFont="1" applyBorder="1">
      <alignment horizontal="center" vertical="center" wrapText="1"/>
    </xf>
    <xf numFmtId="0" fontId="12" fillId="4" borderId="24" xfId="10" applyFont="1" applyBorder="1">
      <alignment horizontal="center" vertical="center" wrapText="1"/>
    </xf>
    <xf numFmtId="0" fontId="12" fillId="4" borderId="42" xfId="10" applyFont="1" applyBorder="1">
      <alignment horizontal="center" vertical="center" wrapText="1"/>
    </xf>
  </cellXfs>
  <cellStyles count="52">
    <cellStyle name="Default" xfId="1" xr:uid="{00000000-0005-0000-0000-000000000000}"/>
    <cellStyle name="Įprastas" xfId="0" builtinId="0"/>
    <cellStyle name="Plm10Confirm" xfId="49" xr:uid="{00000000-0005-0000-0000-000002000000}"/>
    <cellStyle name="Plm10ConfirmA" xfId="50" xr:uid="{00000000-0005-0000-0000-000003000000}"/>
    <cellStyle name="Plm10ConfirmB" xfId="51" xr:uid="{00000000-0005-0000-0000-000004000000}"/>
    <cellStyle name="Plm10HdrLine" xfId="2" xr:uid="{00000000-0005-0000-0000-000005000000}"/>
    <cellStyle name="SvsDataLeaf" xfId="34" xr:uid="{00000000-0005-0000-0000-000006000000}"/>
    <cellStyle name="SvsDataLeafCrtEnd" xfId="38" xr:uid="{00000000-0005-0000-0000-000007000000}"/>
    <cellStyle name="SvsDataLeafCrtName" xfId="36" xr:uid="{00000000-0005-0000-0000-000008000000}"/>
    <cellStyle name="SvsDataLeafCrtStart" xfId="37" xr:uid="{00000000-0005-0000-0000-000009000000}"/>
    <cellStyle name="SvsDataLeafDoer" xfId="42" xr:uid="{00000000-0005-0000-0000-00000A000000}"/>
    <cellStyle name="SvsDataLeafDoerIns" xfId="40" xr:uid="{00000000-0005-0000-0000-00000B000000}"/>
    <cellStyle name="SvsDataLeafLeft" xfId="35" xr:uid="{00000000-0005-0000-0000-00000C000000}"/>
    <cellStyle name="SvsDataLeafNumber" xfId="41" xr:uid="{00000000-0005-0000-0000-00000D000000}"/>
    <cellStyle name="SvsDataLeafOwner" xfId="39" xr:uid="{00000000-0005-0000-0000-00000E000000}"/>
    <cellStyle name="SvsDataLvl1" xfId="32" xr:uid="{00000000-0005-0000-0000-00000F000000}"/>
    <cellStyle name="SvsDataLvl1CrtName" xfId="48" xr:uid="{00000000-0005-0000-0000-000010000000}"/>
    <cellStyle name="SvsDataLvl1Summary" xfId="46" xr:uid="{00000000-0005-0000-0000-000011000000}"/>
    <cellStyle name="SvsDataLvl1SummFin" xfId="47" xr:uid="{00000000-0005-0000-0000-000012000000}"/>
    <cellStyle name="SvsDataLvl2" xfId="33" xr:uid="{00000000-0005-0000-0000-000013000000}"/>
    <cellStyle name="SvsDataLvl2CrtName" xfId="45" xr:uid="{00000000-0005-0000-0000-000014000000}"/>
    <cellStyle name="SvsDataLvl2Summary" xfId="43" xr:uid="{00000000-0005-0000-0000-000015000000}"/>
    <cellStyle name="SvsDataLvl2SummFin" xfId="44" xr:uid="{00000000-0005-0000-0000-000016000000}"/>
    <cellStyle name="SvsHdrColnum" xfId="30" xr:uid="{00000000-0005-0000-0000-000017000000}"/>
    <cellStyle name="SvsHdrColnumFirst" xfId="29" xr:uid="{00000000-0005-0000-0000-000018000000}"/>
    <cellStyle name="SvsHdrColnumLast" xfId="31" xr:uid="{00000000-0005-0000-0000-000019000000}"/>
    <cellStyle name="SvsHdrCrt" xfId="11" xr:uid="{00000000-0005-0000-0000-00001A000000}"/>
    <cellStyle name="SvsHdrCrtDates" xfId="15" xr:uid="{00000000-0005-0000-0000-00001B000000}"/>
    <cellStyle name="SvsHdrCrtDescFields" xfId="14" xr:uid="{00000000-0005-0000-0000-00001C000000}"/>
    <cellStyle name="SvsHdrCrtDiff" xfId="27" xr:uid="{00000000-0005-0000-0000-00001D000000}"/>
    <cellStyle name="SvsHdrCrtEnd" xfId="25" xr:uid="{00000000-0005-0000-0000-00001E000000}"/>
    <cellStyle name="SvsHdrCrtName" xfId="13" xr:uid="{00000000-0005-0000-0000-00001F000000}"/>
    <cellStyle name="SvsHdrCrtStart" xfId="24" xr:uid="{00000000-0005-0000-0000-000020000000}"/>
    <cellStyle name="SvsHdrFin" xfId="22" xr:uid="{00000000-0005-0000-0000-000021000000}"/>
    <cellStyle name="SvsHdrFinCurYear" xfId="9" xr:uid="{00000000-0005-0000-0000-000022000000}"/>
    <cellStyle name="SvsHdrFinsalt" xfId="8" xr:uid="{00000000-0005-0000-0000-000023000000}"/>
    <cellStyle name="SvsHdrFinSum" xfId="23" xr:uid="{00000000-0005-0000-0000-000024000000}"/>
    <cellStyle name="SvsHdrFinTitle" xfId="10" xr:uid="{00000000-0005-0000-0000-000025000000}"/>
    <cellStyle name="SvsHdrFinUom" xfId="26" xr:uid="{00000000-0005-0000-0000-000026000000}"/>
    <cellStyle name="SvsHdrLeaf" xfId="6" xr:uid="{00000000-0005-0000-0000-000027000000}"/>
    <cellStyle name="SvsHdrLeafDesc" xfId="20" xr:uid="{00000000-0005-0000-0000-000028000000}"/>
    <cellStyle name="SvsHdrLeafName" xfId="19" xr:uid="{00000000-0005-0000-0000-000029000000}"/>
    <cellStyle name="SvsHdrLeafNr" xfId="18" xr:uid="{00000000-0005-0000-0000-00002A000000}"/>
    <cellStyle name="SvsHdrLevelName1" xfId="4" xr:uid="{00000000-0005-0000-0000-00002B000000}"/>
    <cellStyle name="SvsHdrLevelName2" xfId="5" xr:uid="{00000000-0005-0000-0000-00002C000000}"/>
    <cellStyle name="SvsHdrPeriod" xfId="7" xr:uid="{00000000-0005-0000-0000-00002D000000}"/>
    <cellStyle name="SvsHdrPeriodDates" xfId="21" xr:uid="{00000000-0005-0000-0000-00002E000000}"/>
    <cellStyle name="SvsHdrRespDoer" xfId="17" xr:uid="{00000000-0005-0000-0000-00002F000000}"/>
    <cellStyle name="SvsHdrRespHdr" xfId="12" xr:uid="{00000000-0005-0000-0000-000030000000}"/>
    <cellStyle name="SvsHdrRespOwner" xfId="16" xr:uid="{00000000-0005-0000-0000-000031000000}"/>
    <cellStyle name="SvsHdrRespOwnerIns" xfId="28" xr:uid="{00000000-0005-0000-0000-000032000000}"/>
    <cellStyle name="SvsHeader" xfId="3" xr:uid="{00000000-0005-0000-0000-000033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m.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78"/>
  <sheetViews>
    <sheetView tabSelected="1" zoomScaleNormal="100" workbookViewId="0">
      <pane xSplit="2" topLeftCell="C1" activePane="topRight" state="frozen"/>
      <selection pane="topRight" activeCell="J2" sqref="J2:K2"/>
    </sheetView>
  </sheetViews>
  <sheetFormatPr defaultColWidth="9.21875" defaultRowHeight="12" customHeight="1" x14ac:dyDescent="0.3"/>
  <cols>
    <col min="1" max="2" width="6.5546875" style="1" customWidth="1"/>
    <col min="3" max="3" width="17.5546875" style="1" customWidth="1"/>
    <col min="4" max="4" width="35.77734375" style="1" customWidth="1"/>
    <col min="5" max="5" width="38.88671875" style="1" customWidth="1"/>
    <col min="6" max="6" width="13.21875" style="1" customWidth="1"/>
    <col min="7" max="7" width="8.77734375" style="1" customWidth="1"/>
    <col min="8" max="8" width="15.88671875" style="1" customWidth="1"/>
    <col min="9" max="9" width="17.5546875" style="1" customWidth="1"/>
    <col min="10" max="10" width="18.109375" style="1" customWidth="1"/>
    <col min="11" max="11" width="16.21875" style="1" customWidth="1"/>
    <col min="12" max="12" width="14" style="1" customWidth="1"/>
    <col min="13" max="16384" width="9.21875" style="1"/>
  </cols>
  <sheetData>
    <row r="2" spans="1:11" ht="69.45" customHeight="1" x14ac:dyDescent="0.3">
      <c r="J2" s="81" t="s">
        <v>177</v>
      </c>
      <c r="K2" s="81"/>
    </row>
    <row r="3" spans="1:11" ht="41.1" customHeight="1" x14ac:dyDescent="0.3">
      <c r="C3" s="82" t="s">
        <v>176</v>
      </c>
      <c r="D3" s="83"/>
      <c r="E3" s="83"/>
      <c r="F3" s="83"/>
      <c r="G3" s="83"/>
      <c r="H3" s="83"/>
      <c r="I3" s="83"/>
      <c r="J3" s="83"/>
      <c r="K3" s="83"/>
    </row>
    <row r="4" spans="1:11" ht="48" customHeight="1" x14ac:dyDescent="0.3">
      <c r="A4" s="2"/>
      <c r="B4" s="2"/>
      <c r="C4" s="83"/>
      <c r="D4" s="83"/>
      <c r="E4" s="83"/>
      <c r="F4" s="83"/>
      <c r="G4" s="83"/>
      <c r="H4" s="83"/>
      <c r="I4" s="83"/>
      <c r="J4" s="83"/>
      <c r="K4" s="83"/>
    </row>
    <row r="5" spans="1:11" ht="12.75" customHeight="1" thickBot="1" x14ac:dyDescent="0.35"/>
    <row r="6" spans="1:11" ht="20.25" customHeight="1" thickBot="1" x14ac:dyDescent="0.35">
      <c r="A6" s="54" t="s">
        <v>0</v>
      </c>
      <c r="B6" s="55" t="s">
        <v>1</v>
      </c>
      <c r="C6" s="56" t="s">
        <v>2</v>
      </c>
      <c r="D6" s="56"/>
      <c r="E6" s="56"/>
      <c r="F6" s="93" t="s">
        <v>3</v>
      </c>
      <c r="G6" s="57" t="s">
        <v>4</v>
      </c>
      <c r="H6" s="57" t="s">
        <v>5</v>
      </c>
      <c r="I6" s="87" t="s">
        <v>6</v>
      </c>
      <c r="J6" s="96" t="s">
        <v>7</v>
      </c>
      <c r="K6" s="90" t="s">
        <v>8</v>
      </c>
    </row>
    <row r="7" spans="1:11" ht="30" customHeight="1" thickBot="1" x14ac:dyDescent="0.35">
      <c r="A7" s="54"/>
      <c r="B7" s="55"/>
      <c r="C7" s="56"/>
      <c r="D7" s="56"/>
      <c r="E7" s="56"/>
      <c r="F7" s="94"/>
      <c r="G7" s="58"/>
      <c r="H7" s="58"/>
      <c r="I7" s="88"/>
      <c r="J7" s="97"/>
      <c r="K7" s="91"/>
    </row>
    <row r="8" spans="1:11" ht="14.25" customHeight="1" thickBot="1" x14ac:dyDescent="0.35">
      <c r="A8" s="54"/>
      <c r="B8" s="55"/>
      <c r="C8" s="84" t="s">
        <v>9</v>
      </c>
      <c r="D8" s="85" t="s">
        <v>10</v>
      </c>
      <c r="E8" s="86" t="s">
        <v>11</v>
      </c>
      <c r="F8" s="94"/>
      <c r="G8" s="58"/>
      <c r="H8" s="58"/>
      <c r="I8" s="89"/>
      <c r="J8" s="98"/>
      <c r="K8" s="92"/>
    </row>
    <row r="9" spans="1:11" ht="35.549999999999997" customHeight="1" x14ac:dyDescent="0.3">
      <c r="A9" s="54"/>
      <c r="B9" s="55"/>
      <c r="C9" s="84"/>
      <c r="D9" s="85"/>
      <c r="E9" s="86"/>
      <c r="F9" s="95"/>
      <c r="G9" s="59"/>
      <c r="H9" s="59"/>
      <c r="I9" s="7" t="s">
        <v>12</v>
      </c>
      <c r="J9" s="7" t="s">
        <v>12</v>
      </c>
      <c r="K9" s="7" t="s">
        <v>12</v>
      </c>
    </row>
    <row r="10" spans="1:11" ht="10.35" customHeight="1" x14ac:dyDescent="0.3">
      <c r="A10" s="3">
        <v>1</v>
      </c>
      <c r="B10" s="4">
        <v>2</v>
      </c>
      <c r="C10" s="4">
        <v>3</v>
      </c>
      <c r="D10" s="4">
        <v>4</v>
      </c>
      <c r="E10" s="4">
        <v>5</v>
      </c>
      <c r="F10" s="4">
        <v>6</v>
      </c>
      <c r="G10" s="4">
        <v>7</v>
      </c>
      <c r="H10" s="4">
        <v>8</v>
      </c>
      <c r="I10" s="4">
        <v>10</v>
      </c>
      <c r="J10" s="4"/>
      <c r="K10" s="4">
        <v>11</v>
      </c>
    </row>
    <row r="11" spans="1:11" ht="98.55" customHeight="1" x14ac:dyDescent="0.3">
      <c r="A11" s="44" t="s">
        <v>13</v>
      </c>
      <c r="B11" s="45" t="s">
        <v>14</v>
      </c>
      <c r="C11" s="8" t="s">
        <v>15</v>
      </c>
      <c r="D11" s="11" t="s">
        <v>16</v>
      </c>
      <c r="E11" s="11" t="s">
        <v>17</v>
      </c>
      <c r="F11" s="13" t="s">
        <v>18</v>
      </c>
      <c r="G11" s="8" t="s">
        <v>19</v>
      </c>
      <c r="H11" s="8" t="s">
        <v>20</v>
      </c>
      <c r="I11" s="14">
        <v>3994.5</v>
      </c>
      <c r="J11" s="14">
        <v>5763.47</v>
      </c>
      <c r="K11" s="14">
        <v>5564.1</v>
      </c>
    </row>
    <row r="12" spans="1:11" ht="60.75" customHeight="1" x14ac:dyDescent="0.3">
      <c r="A12" s="44"/>
      <c r="B12" s="45"/>
      <c r="C12" s="8" t="s">
        <v>21</v>
      </c>
      <c r="D12" s="11" t="s">
        <v>22</v>
      </c>
      <c r="E12" s="11" t="s">
        <v>23</v>
      </c>
      <c r="F12" s="13" t="s">
        <v>18</v>
      </c>
      <c r="G12" s="8" t="s">
        <v>24</v>
      </c>
      <c r="H12" s="8" t="s">
        <v>20</v>
      </c>
      <c r="I12" s="14">
        <v>615.6</v>
      </c>
      <c r="J12" s="14">
        <f>(508900)/1000</f>
        <v>508.9</v>
      </c>
      <c r="K12" s="14">
        <f>(482318.59)/1000</f>
        <v>482.31859000000003</v>
      </c>
    </row>
    <row r="13" spans="1:11" ht="65.55" customHeight="1" x14ac:dyDescent="0.3">
      <c r="A13" s="44"/>
      <c r="B13" s="45"/>
      <c r="C13" s="8" t="s">
        <v>25</v>
      </c>
      <c r="D13" s="11" t="s">
        <v>26</v>
      </c>
      <c r="E13" s="11" t="s">
        <v>27</v>
      </c>
      <c r="F13" s="13" t="s">
        <v>18</v>
      </c>
      <c r="G13" s="8" t="s">
        <v>19</v>
      </c>
      <c r="H13" s="8" t="s">
        <v>20</v>
      </c>
      <c r="I13" s="14">
        <v>2300</v>
      </c>
      <c r="J13" s="14">
        <v>3744.95</v>
      </c>
      <c r="K13" s="14">
        <v>3450.82</v>
      </c>
    </row>
    <row r="14" spans="1:11" ht="62.55" customHeight="1" x14ac:dyDescent="0.3">
      <c r="A14" s="44"/>
      <c r="B14" s="45"/>
      <c r="C14" s="8" t="s">
        <v>28</v>
      </c>
      <c r="D14" s="11" t="s">
        <v>29</v>
      </c>
      <c r="E14" s="12" t="s">
        <v>30</v>
      </c>
      <c r="F14" s="13" t="s">
        <v>18</v>
      </c>
      <c r="G14" s="8" t="s">
        <v>24</v>
      </c>
      <c r="H14" s="8" t="s">
        <v>20</v>
      </c>
      <c r="I14" s="28">
        <v>249.6</v>
      </c>
      <c r="J14" s="31">
        <f>(175500+3000+61500)/1000</f>
        <v>240</v>
      </c>
      <c r="K14" s="31">
        <f>(169246+2940+50429.06)/1000</f>
        <v>222.61506</v>
      </c>
    </row>
    <row r="15" spans="1:11" ht="30.75" customHeight="1" x14ac:dyDescent="0.3">
      <c r="A15" s="44"/>
      <c r="B15" s="45"/>
      <c r="C15" s="8" t="s">
        <v>31</v>
      </c>
      <c r="D15" s="11" t="s">
        <v>32</v>
      </c>
      <c r="E15" s="15" t="s">
        <v>33</v>
      </c>
      <c r="F15" s="13" t="s">
        <v>18</v>
      </c>
      <c r="G15" s="8" t="s">
        <v>19</v>
      </c>
      <c r="H15" s="8" t="s">
        <v>20</v>
      </c>
      <c r="I15" s="29">
        <v>60</v>
      </c>
      <c r="J15" s="29">
        <v>60</v>
      </c>
      <c r="K15" s="29">
        <v>37.1</v>
      </c>
    </row>
    <row r="16" spans="1:11" ht="106.5" customHeight="1" x14ac:dyDescent="0.3">
      <c r="A16" s="44"/>
      <c r="B16" s="45"/>
      <c r="C16" s="8" t="s">
        <v>34</v>
      </c>
      <c r="D16" s="11" t="s">
        <v>35</v>
      </c>
      <c r="E16" s="11" t="s">
        <v>36</v>
      </c>
      <c r="F16" s="13" t="s">
        <v>37</v>
      </c>
      <c r="G16" s="8" t="s">
        <v>38</v>
      </c>
      <c r="H16" s="8" t="s">
        <v>20</v>
      </c>
      <c r="I16" s="14">
        <v>130.19999999999999</v>
      </c>
      <c r="J16" s="14">
        <f>(54969+47000+7000)/1000</f>
        <v>108.96899999999999</v>
      </c>
      <c r="K16" s="14">
        <v>76.239999999999995</v>
      </c>
    </row>
    <row r="17" spans="1:11" ht="39" customHeight="1" x14ac:dyDescent="0.3">
      <c r="A17" s="44"/>
      <c r="B17" s="45"/>
      <c r="C17" s="8" t="s">
        <v>39</v>
      </c>
      <c r="D17" s="15" t="s">
        <v>40</v>
      </c>
      <c r="E17" s="15" t="s">
        <v>41</v>
      </c>
      <c r="F17" s="13" t="s">
        <v>37</v>
      </c>
      <c r="G17" s="8" t="s">
        <v>24</v>
      </c>
      <c r="H17" s="8" t="s">
        <v>20</v>
      </c>
      <c r="I17" s="14">
        <v>1347</v>
      </c>
      <c r="J17" s="14">
        <v>1326</v>
      </c>
      <c r="K17" s="14">
        <f>(107025+18824.2+1157732.17)/1000</f>
        <v>1283.5813699999999</v>
      </c>
    </row>
    <row r="18" spans="1:11" ht="134.85" customHeight="1" x14ac:dyDescent="0.3">
      <c r="A18" s="44"/>
      <c r="B18" s="45"/>
      <c r="C18" s="8" t="s">
        <v>42</v>
      </c>
      <c r="D18" s="11" t="s">
        <v>43</v>
      </c>
      <c r="E18" s="11" t="s">
        <v>44</v>
      </c>
      <c r="F18" s="13" t="s">
        <v>18</v>
      </c>
      <c r="G18" s="8" t="s">
        <v>24</v>
      </c>
      <c r="H18" s="8" t="s">
        <v>20</v>
      </c>
      <c r="I18" s="14">
        <v>26069.599999999999</v>
      </c>
      <c r="J18" s="14">
        <f>26904.2</f>
        <v>26904.2</v>
      </c>
      <c r="K18" s="14">
        <v>26541.599999999999</v>
      </c>
    </row>
    <row r="19" spans="1:11" ht="54.6" customHeight="1" x14ac:dyDescent="0.3">
      <c r="A19" s="44"/>
      <c r="B19" s="45"/>
      <c r="C19" s="8" t="s">
        <v>45</v>
      </c>
      <c r="D19" s="16" t="s">
        <v>46</v>
      </c>
      <c r="E19" s="11" t="s">
        <v>47</v>
      </c>
      <c r="F19" s="13" t="s">
        <v>18</v>
      </c>
      <c r="G19" s="8" t="s">
        <v>24</v>
      </c>
      <c r="H19" s="8" t="s">
        <v>20</v>
      </c>
      <c r="I19" s="14">
        <v>7907.8</v>
      </c>
      <c r="J19" s="14">
        <v>8448.6</v>
      </c>
      <c r="K19" s="14">
        <v>8214.1</v>
      </c>
    </row>
    <row r="20" spans="1:11" ht="33" customHeight="1" x14ac:dyDescent="0.3">
      <c r="A20" s="44"/>
      <c r="B20" s="45"/>
      <c r="C20" s="8" t="s">
        <v>48</v>
      </c>
      <c r="D20" s="15" t="s">
        <v>49</v>
      </c>
      <c r="E20" s="15" t="s">
        <v>50</v>
      </c>
      <c r="F20" s="13" t="s">
        <v>37</v>
      </c>
      <c r="G20" s="8" t="s">
        <v>19</v>
      </c>
      <c r="H20" s="8" t="s">
        <v>20</v>
      </c>
      <c r="I20" s="19">
        <v>650</v>
      </c>
      <c r="J20" s="19">
        <f>(776500)/1000</f>
        <v>776.5</v>
      </c>
      <c r="K20" s="32">
        <f>(775964.44)/1000</f>
        <v>775.96443999999997</v>
      </c>
    </row>
    <row r="21" spans="1:11" ht="45" customHeight="1" x14ac:dyDescent="0.3">
      <c r="A21" s="44"/>
      <c r="B21" s="45"/>
      <c r="C21" s="10" t="s">
        <v>51</v>
      </c>
      <c r="D21" s="15" t="s">
        <v>52</v>
      </c>
      <c r="E21" s="15" t="s">
        <v>53</v>
      </c>
      <c r="F21" s="13" t="s">
        <v>37</v>
      </c>
      <c r="G21" s="10" t="s">
        <v>24</v>
      </c>
      <c r="H21" s="10" t="s">
        <v>20</v>
      </c>
      <c r="I21" s="20">
        <v>22</v>
      </c>
      <c r="J21" s="9">
        <v>414.6</v>
      </c>
      <c r="K21" s="9">
        <v>357.69</v>
      </c>
    </row>
    <row r="22" spans="1:11" ht="60" customHeight="1" x14ac:dyDescent="0.3">
      <c r="A22" s="44"/>
      <c r="B22" s="45"/>
      <c r="C22" s="10" t="s">
        <v>54</v>
      </c>
      <c r="D22" s="15" t="s">
        <v>55</v>
      </c>
      <c r="E22" s="15" t="s">
        <v>56</v>
      </c>
      <c r="F22" s="13" t="s">
        <v>57</v>
      </c>
      <c r="G22" s="10" t="s">
        <v>58</v>
      </c>
      <c r="H22" s="10" t="s">
        <v>20</v>
      </c>
      <c r="I22" s="24">
        <v>500</v>
      </c>
      <c r="J22" s="24">
        <f>(325700+114400+60900+25500)/1000</f>
        <v>526.5</v>
      </c>
      <c r="K22" s="20">
        <f>(24213.02+318138.93+114491.38+29536.46)/1000</f>
        <v>486.37979000000001</v>
      </c>
    </row>
    <row r="23" spans="1:11" ht="72" customHeight="1" x14ac:dyDescent="0.3">
      <c r="A23" s="44"/>
      <c r="B23" s="45"/>
      <c r="C23" s="8" t="s">
        <v>59</v>
      </c>
      <c r="D23" s="11" t="s">
        <v>60</v>
      </c>
      <c r="E23" s="11" t="s">
        <v>61</v>
      </c>
      <c r="F23" s="13" t="s">
        <v>18</v>
      </c>
      <c r="G23" s="8" t="s">
        <v>24</v>
      </c>
      <c r="H23" s="10" t="s">
        <v>20</v>
      </c>
      <c r="I23" s="14">
        <v>12.2</v>
      </c>
      <c r="J23" s="14">
        <v>0</v>
      </c>
      <c r="K23" s="14">
        <v>0</v>
      </c>
    </row>
    <row r="24" spans="1:11" ht="148.5" customHeight="1" x14ac:dyDescent="0.3">
      <c r="A24" s="44"/>
      <c r="B24" s="45"/>
      <c r="C24" s="10" t="s">
        <v>62</v>
      </c>
      <c r="D24" s="15" t="s">
        <v>63</v>
      </c>
      <c r="E24" s="15" t="s">
        <v>64</v>
      </c>
      <c r="F24" s="13" t="s">
        <v>65</v>
      </c>
      <c r="G24" s="10" t="s">
        <v>19</v>
      </c>
      <c r="H24" s="10" t="s">
        <v>20</v>
      </c>
      <c r="I24" s="9">
        <v>25</v>
      </c>
      <c r="J24" s="9">
        <v>25</v>
      </c>
      <c r="K24" s="9">
        <v>0</v>
      </c>
    </row>
    <row r="25" spans="1:11" ht="68.25" customHeight="1" x14ac:dyDescent="0.3">
      <c r="A25" s="44"/>
      <c r="B25" s="45"/>
      <c r="C25" s="10" t="s">
        <v>66</v>
      </c>
      <c r="D25" s="15" t="s">
        <v>67</v>
      </c>
      <c r="E25" s="15" t="s">
        <v>68</v>
      </c>
      <c r="F25" s="13" t="s">
        <v>18</v>
      </c>
      <c r="G25" s="10" t="s">
        <v>19</v>
      </c>
      <c r="H25" s="10" t="s">
        <v>20</v>
      </c>
      <c r="I25" s="9">
        <v>300</v>
      </c>
      <c r="J25" s="20">
        <f>(350700)/1000</f>
        <v>350.7</v>
      </c>
      <c r="K25" s="20">
        <f>(349165.06)/1000</f>
        <v>349.16505999999998</v>
      </c>
    </row>
    <row r="26" spans="1:11" ht="55.35" customHeight="1" x14ac:dyDescent="0.3">
      <c r="A26" s="44"/>
      <c r="B26" s="45"/>
      <c r="C26" s="8" t="s">
        <v>69</v>
      </c>
      <c r="D26" s="11" t="s">
        <v>70</v>
      </c>
      <c r="E26" s="11" t="s">
        <v>71</v>
      </c>
      <c r="F26" s="13" t="s">
        <v>37</v>
      </c>
      <c r="G26" s="8" t="s">
        <v>19</v>
      </c>
      <c r="H26" s="8" t="s">
        <v>20</v>
      </c>
      <c r="I26" s="14">
        <v>35</v>
      </c>
      <c r="J26" s="14">
        <f>(20000)/1000</f>
        <v>20</v>
      </c>
      <c r="K26" s="14">
        <f>(15000)/1000</f>
        <v>15</v>
      </c>
    </row>
    <row r="27" spans="1:11" ht="82.5" customHeight="1" x14ac:dyDescent="0.3">
      <c r="A27" s="44"/>
      <c r="B27" s="45"/>
      <c r="C27" s="10" t="s">
        <v>72</v>
      </c>
      <c r="D27" s="11" t="s">
        <v>73</v>
      </c>
      <c r="E27" s="11" t="s">
        <v>74</v>
      </c>
      <c r="F27" s="13" t="s">
        <v>18</v>
      </c>
      <c r="G27" s="8" t="s">
        <v>19</v>
      </c>
      <c r="H27" s="8" t="s">
        <v>20</v>
      </c>
      <c r="I27" s="14">
        <v>10</v>
      </c>
      <c r="J27" s="30">
        <f>(10000)/1000</f>
        <v>10</v>
      </c>
      <c r="K27" s="30">
        <f>(8700)/1000</f>
        <v>8.6999999999999993</v>
      </c>
    </row>
    <row r="28" spans="1:11" ht="59.1" customHeight="1" x14ac:dyDescent="0.3">
      <c r="A28" s="44"/>
      <c r="B28" s="45"/>
      <c r="C28" s="10" t="s">
        <v>75</v>
      </c>
      <c r="D28" s="11" t="s">
        <v>76</v>
      </c>
      <c r="E28" s="11" t="s">
        <v>77</v>
      </c>
      <c r="F28" s="13" t="s">
        <v>18</v>
      </c>
      <c r="G28" s="8" t="s">
        <v>19</v>
      </c>
      <c r="H28" s="8" t="s">
        <v>20</v>
      </c>
      <c r="I28" s="14">
        <v>7</v>
      </c>
      <c r="J28" s="30">
        <f>(7000)/1000</f>
        <v>7</v>
      </c>
      <c r="K28" s="30">
        <f>(3975.07)/1000</f>
        <v>3.9750700000000001</v>
      </c>
    </row>
    <row r="29" spans="1:11" ht="36.75" customHeight="1" x14ac:dyDescent="0.3">
      <c r="A29" s="44"/>
      <c r="B29" s="45"/>
      <c r="C29" s="60" t="s">
        <v>78</v>
      </c>
      <c r="D29" s="61"/>
      <c r="E29" s="61"/>
      <c r="F29" s="61"/>
      <c r="G29" s="61"/>
      <c r="H29" s="62"/>
      <c r="I29" s="5">
        <f>SUM(I11:I28)</f>
        <v>44235.5</v>
      </c>
      <c r="J29" s="5">
        <f t="shared" ref="J29:K29" si="0">SUM(J11:J28)</f>
        <v>49235.388999999996</v>
      </c>
      <c r="K29" s="5">
        <f t="shared" si="0"/>
        <v>47869.34938</v>
      </c>
    </row>
    <row r="30" spans="1:11" ht="33.75" customHeight="1" x14ac:dyDescent="0.3">
      <c r="A30" s="44"/>
      <c r="B30" s="45" t="s">
        <v>79</v>
      </c>
      <c r="C30" s="10" t="s">
        <v>80</v>
      </c>
      <c r="D30" s="15" t="s">
        <v>81</v>
      </c>
      <c r="E30" s="15" t="s">
        <v>82</v>
      </c>
      <c r="F30" s="13" t="s">
        <v>18</v>
      </c>
      <c r="G30" s="10" t="s">
        <v>83</v>
      </c>
      <c r="H30" s="10" t="s">
        <v>84</v>
      </c>
      <c r="I30" s="9">
        <v>700</v>
      </c>
      <c r="J30" s="9">
        <f>(35800+941900+56400+53700)/1000</f>
        <v>1087.8</v>
      </c>
      <c r="K30" s="20">
        <f>(35781.58+934231.66+43268.67+53651)/1000</f>
        <v>1066.9329100000002</v>
      </c>
    </row>
    <row r="31" spans="1:11" ht="23.25" customHeight="1" x14ac:dyDescent="0.3">
      <c r="A31" s="44"/>
      <c r="B31" s="45"/>
      <c r="C31" s="10" t="s">
        <v>85</v>
      </c>
      <c r="D31" s="15" t="s">
        <v>86</v>
      </c>
      <c r="E31" s="15" t="s">
        <v>87</v>
      </c>
      <c r="F31" s="13" t="s">
        <v>18</v>
      </c>
      <c r="G31" s="10" t="s">
        <v>88</v>
      </c>
      <c r="H31" s="10" t="s">
        <v>84</v>
      </c>
      <c r="I31" s="9">
        <v>587.6</v>
      </c>
      <c r="J31" s="9">
        <f>(457000+290000+13600)/1000</f>
        <v>760.6</v>
      </c>
      <c r="K31" s="20">
        <f>(442103.88+259473.51+13600)/1000</f>
        <v>715.17739000000006</v>
      </c>
    </row>
    <row r="32" spans="1:11" ht="23.25" customHeight="1" x14ac:dyDescent="0.3">
      <c r="A32" s="44"/>
      <c r="B32" s="45"/>
      <c r="C32" s="10" t="s">
        <v>89</v>
      </c>
      <c r="D32" s="15" t="s">
        <v>90</v>
      </c>
      <c r="E32" s="15" t="s">
        <v>82</v>
      </c>
      <c r="F32" s="13" t="s">
        <v>18</v>
      </c>
      <c r="G32" s="10" t="s">
        <v>83</v>
      </c>
      <c r="H32" s="10" t="s">
        <v>84</v>
      </c>
      <c r="I32" s="9">
        <v>377.1</v>
      </c>
      <c r="J32" s="9">
        <f>(310100+10000+18300)/1000</f>
        <v>338.4</v>
      </c>
      <c r="K32" s="20">
        <f>(310100+2500+18300)/1000</f>
        <v>330.9</v>
      </c>
    </row>
    <row r="33" spans="1:11" ht="23.25" customHeight="1" x14ac:dyDescent="0.3">
      <c r="A33" s="44"/>
      <c r="B33" s="45"/>
      <c r="C33" s="10" t="s">
        <v>91</v>
      </c>
      <c r="D33" s="15" t="s">
        <v>92</v>
      </c>
      <c r="E33" s="15" t="s">
        <v>82</v>
      </c>
      <c r="F33" s="13" t="s">
        <v>18</v>
      </c>
      <c r="G33" s="10" t="s">
        <v>83</v>
      </c>
      <c r="H33" s="10" t="s">
        <v>84</v>
      </c>
      <c r="I33" s="9">
        <v>971.8</v>
      </c>
      <c r="J33" s="9">
        <f>(103500+915100+18000)/1000</f>
        <v>1036.5999999999999</v>
      </c>
      <c r="K33" s="20">
        <f>(86570.25+907277.5+18000)/1000</f>
        <v>1011.84775</v>
      </c>
    </row>
    <row r="34" spans="1:11" ht="45" customHeight="1" x14ac:dyDescent="0.3">
      <c r="A34" s="44"/>
      <c r="B34" s="45"/>
      <c r="C34" s="38" t="s">
        <v>93</v>
      </c>
      <c r="D34" s="47" t="s">
        <v>94</v>
      </c>
      <c r="E34" s="47" t="s">
        <v>95</v>
      </c>
      <c r="F34" s="72" t="s">
        <v>37</v>
      </c>
      <c r="G34" s="38" t="s">
        <v>24</v>
      </c>
      <c r="H34" s="38" t="s">
        <v>84</v>
      </c>
      <c r="I34" s="49">
        <v>980.3</v>
      </c>
      <c r="J34" s="49">
        <f>(800000+48600)/1000</f>
        <v>848.6</v>
      </c>
      <c r="K34" s="49">
        <f>(786966.15+11419.93)/1000</f>
        <v>798.38608000000011</v>
      </c>
    </row>
    <row r="35" spans="1:11" ht="7.5" customHeight="1" x14ac:dyDescent="0.3">
      <c r="A35" s="44"/>
      <c r="B35" s="45"/>
      <c r="C35" s="46"/>
      <c r="D35" s="48"/>
      <c r="E35" s="48"/>
      <c r="F35" s="73"/>
      <c r="G35" s="46"/>
      <c r="H35" s="46"/>
      <c r="I35" s="74"/>
      <c r="J35" s="50"/>
      <c r="K35" s="74"/>
    </row>
    <row r="36" spans="1:11" ht="175.5" customHeight="1" x14ac:dyDescent="0.3">
      <c r="A36" s="44"/>
      <c r="B36" s="45"/>
      <c r="C36" s="8" t="s">
        <v>96</v>
      </c>
      <c r="D36" s="11" t="s">
        <v>97</v>
      </c>
      <c r="E36" s="18" t="s">
        <v>98</v>
      </c>
      <c r="F36" s="13" t="s">
        <v>18</v>
      </c>
      <c r="G36" s="8" t="s">
        <v>38</v>
      </c>
      <c r="H36" s="8" t="s">
        <v>20</v>
      </c>
      <c r="I36" s="14">
        <v>1415.6</v>
      </c>
      <c r="J36" s="14">
        <f>(100000+1744600+550000+480000)/1000</f>
        <v>2874.6</v>
      </c>
      <c r="K36" s="30">
        <f>(96231.85+1711812.33+528321.04+460658.76)/1000</f>
        <v>2797.0239800000004</v>
      </c>
    </row>
    <row r="37" spans="1:11" ht="117" customHeight="1" x14ac:dyDescent="0.3">
      <c r="A37" s="44"/>
      <c r="B37" s="45"/>
      <c r="C37" s="8" t="s">
        <v>99</v>
      </c>
      <c r="D37" s="11" t="s">
        <v>100</v>
      </c>
      <c r="E37" s="12" t="s">
        <v>100</v>
      </c>
      <c r="F37" s="13" t="s">
        <v>18</v>
      </c>
      <c r="G37" s="8" t="s">
        <v>38</v>
      </c>
      <c r="H37" s="8" t="s">
        <v>20</v>
      </c>
      <c r="I37" s="14">
        <f>90+80</f>
        <v>170</v>
      </c>
      <c r="J37" s="14">
        <f>(110800+80000)/1000</f>
        <v>190.8</v>
      </c>
      <c r="K37" s="30">
        <f>(110614.23+79999)/1000</f>
        <v>190.61322999999999</v>
      </c>
    </row>
    <row r="38" spans="1:11" ht="63" customHeight="1" x14ac:dyDescent="0.3">
      <c r="A38" s="44"/>
      <c r="B38" s="45"/>
      <c r="C38" s="8" t="s">
        <v>101</v>
      </c>
      <c r="D38" s="11" t="s">
        <v>102</v>
      </c>
      <c r="E38" s="11" t="s">
        <v>103</v>
      </c>
      <c r="F38" s="13" t="s">
        <v>18</v>
      </c>
      <c r="G38" s="8" t="s">
        <v>19</v>
      </c>
      <c r="H38" s="8" t="s">
        <v>20</v>
      </c>
      <c r="I38" s="14">
        <v>128</v>
      </c>
      <c r="J38" s="14">
        <f>(128000)/1000</f>
        <v>128</v>
      </c>
      <c r="K38" s="30">
        <f>(124316.4)/1000</f>
        <v>124.31639999999999</v>
      </c>
    </row>
    <row r="39" spans="1:11" ht="45" customHeight="1" x14ac:dyDescent="0.3">
      <c r="A39" s="44"/>
      <c r="B39" s="45"/>
      <c r="C39" s="10" t="s">
        <v>104</v>
      </c>
      <c r="D39" s="15" t="s">
        <v>105</v>
      </c>
      <c r="E39" s="15" t="s">
        <v>106</v>
      </c>
      <c r="F39" s="13" t="s">
        <v>18</v>
      </c>
      <c r="G39" s="10" t="s">
        <v>19</v>
      </c>
      <c r="H39" s="10" t="s">
        <v>20</v>
      </c>
      <c r="I39" s="9">
        <v>638.79999999999995</v>
      </c>
      <c r="J39" s="9">
        <v>0</v>
      </c>
      <c r="K39" s="9">
        <v>0</v>
      </c>
    </row>
    <row r="40" spans="1:11" ht="51.75" customHeight="1" x14ac:dyDescent="0.3">
      <c r="A40" s="44"/>
      <c r="B40" s="45"/>
      <c r="C40" s="8" t="s">
        <v>107</v>
      </c>
      <c r="D40" s="11" t="s">
        <v>108</v>
      </c>
      <c r="E40" s="11" t="s">
        <v>109</v>
      </c>
      <c r="F40" s="13" t="s">
        <v>18</v>
      </c>
      <c r="G40" s="8" t="s">
        <v>58</v>
      </c>
      <c r="H40" s="8" t="s">
        <v>110</v>
      </c>
      <c r="I40" s="23">
        <v>541</v>
      </c>
      <c r="J40" s="35">
        <v>0</v>
      </c>
      <c r="K40" s="35">
        <v>0</v>
      </c>
    </row>
    <row r="41" spans="1:11" ht="23.25" customHeight="1" x14ac:dyDescent="0.3">
      <c r="A41" s="44"/>
      <c r="B41" s="45"/>
      <c r="C41" s="8" t="s">
        <v>111</v>
      </c>
      <c r="D41" s="11" t="s">
        <v>112</v>
      </c>
      <c r="E41" s="11" t="s">
        <v>82</v>
      </c>
      <c r="F41" s="13" t="s">
        <v>18</v>
      </c>
      <c r="G41" s="8" t="s">
        <v>19</v>
      </c>
      <c r="H41" s="8" t="s">
        <v>84</v>
      </c>
      <c r="I41" s="17">
        <v>1466.1</v>
      </c>
      <c r="J41" s="17">
        <f>(1226000+10800+9200+1300)/1000</f>
        <v>1247.3</v>
      </c>
      <c r="K41" s="33">
        <f>(1225787.95+4000+9200+1296.85)/1000</f>
        <v>1240.2848000000001</v>
      </c>
    </row>
    <row r="42" spans="1:11" ht="101.55" customHeight="1" x14ac:dyDescent="0.3">
      <c r="A42" s="44"/>
      <c r="B42" s="45"/>
      <c r="C42" s="10" t="s">
        <v>113</v>
      </c>
      <c r="D42" s="11" t="s">
        <v>114</v>
      </c>
      <c r="E42" s="12" t="s">
        <v>115</v>
      </c>
      <c r="F42" s="13" t="s">
        <v>37</v>
      </c>
      <c r="G42" s="8" t="s">
        <v>83</v>
      </c>
      <c r="H42" s="8" t="s">
        <v>84</v>
      </c>
      <c r="I42" s="14">
        <v>814</v>
      </c>
      <c r="J42" s="14">
        <f>(774000+22300)/1000</f>
        <v>796.3</v>
      </c>
      <c r="K42" s="30">
        <f>(766255.81+16380.46)/1000</f>
        <v>782.63626999999997</v>
      </c>
    </row>
    <row r="43" spans="1:11" ht="23.25" customHeight="1" x14ac:dyDescent="0.3">
      <c r="A43" s="44"/>
      <c r="B43" s="45"/>
      <c r="C43" s="10" t="s">
        <v>116</v>
      </c>
      <c r="D43" s="11" t="s">
        <v>117</v>
      </c>
      <c r="E43" s="12" t="s">
        <v>87</v>
      </c>
      <c r="F43" s="13" t="s">
        <v>37</v>
      </c>
      <c r="G43" s="8" t="s">
        <v>83</v>
      </c>
      <c r="H43" s="8" t="s">
        <v>84</v>
      </c>
      <c r="I43" s="14">
        <v>521.1</v>
      </c>
      <c r="J43" s="14">
        <f>(165000+373100)/1000</f>
        <v>538.1</v>
      </c>
      <c r="K43" s="30">
        <f>(127389.17+373100)/1000</f>
        <v>500.48917</v>
      </c>
    </row>
    <row r="44" spans="1:11" ht="59.55" customHeight="1" x14ac:dyDescent="0.3">
      <c r="A44" s="44"/>
      <c r="B44" s="45"/>
      <c r="C44" s="10" t="s">
        <v>118</v>
      </c>
      <c r="D44" s="11" t="s">
        <v>119</v>
      </c>
      <c r="E44" s="12" t="s">
        <v>120</v>
      </c>
      <c r="F44" s="13" t="s">
        <v>121</v>
      </c>
      <c r="G44" s="8" t="s">
        <v>122</v>
      </c>
      <c r="H44" s="8" t="s">
        <v>20</v>
      </c>
      <c r="I44" s="14">
        <v>0</v>
      </c>
      <c r="J44" s="14">
        <v>0</v>
      </c>
      <c r="K44" s="14">
        <v>0</v>
      </c>
    </row>
    <row r="45" spans="1:11" s="21" customFormat="1" ht="80.099999999999994" customHeight="1" x14ac:dyDescent="0.3">
      <c r="A45" s="44"/>
      <c r="B45" s="45"/>
      <c r="C45" s="8" t="s">
        <v>123</v>
      </c>
      <c r="D45" s="11" t="s">
        <v>124</v>
      </c>
      <c r="E45" s="11" t="s">
        <v>125</v>
      </c>
      <c r="F45" s="13" t="s">
        <v>18</v>
      </c>
      <c r="G45" s="8" t="s">
        <v>24</v>
      </c>
      <c r="H45" s="8" t="s">
        <v>20</v>
      </c>
      <c r="I45" s="14">
        <v>234.3</v>
      </c>
      <c r="J45" s="14">
        <f>(108100)/1000</f>
        <v>108.1</v>
      </c>
      <c r="K45" s="30">
        <f>(91399.89)/1000</f>
        <v>91.399889999999999</v>
      </c>
    </row>
    <row r="46" spans="1:11" ht="12.75" customHeight="1" x14ac:dyDescent="0.3">
      <c r="A46" s="44"/>
      <c r="B46" s="45"/>
      <c r="C46" s="63" t="s">
        <v>126</v>
      </c>
      <c r="D46" s="63"/>
      <c r="E46" s="63"/>
      <c r="F46" s="63"/>
      <c r="G46" s="63"/>
      <c r="H46" s="63"/>
      <c r="I46" s="37">
        <f>SUM(I30:I45)</f>
        <v>9545.6999999999989</v>
      </c>
      <c r="J46" s="37">
        <f t="shared" ref="J46:K46" si="1">SUM(J30:J45)</f>
        <v>9955.2000000000007</v>
      </c>
      <c r="K46" s="37">
        <f t="shared" si="1"/>
        <v>9650.0078700000013</v>
      </c>
    </row>
    <row r="47" spans="1:11" x14ac:dyDescent="0.3">
      <c r="A47" s="44"/>
      <c r="B47" s="45"/>
      <c r="C47" s="63"/>
      <c r="D47" s="63"/>
      <c r="E47" s="63"/>
      <c r="F47" s="63"/>
      <c r="G47" s="63"/>
      <c r="H47" s="63"/>
      <c r="I47" s="37"/>
      <c r="J47" s="37"/>
      <c r="K47" s="37"/>
    </row>
    <row r="48" spans="1:11" ht="47.25" customHeight="1" x14ac:dyDescent="0.3">
      <c r="A48" s="44"/>
      <c r="B48" s="45"/>
      <c r="C48" s="8" t="s">
        <v>127</v>
      </c>
      <c r="D48" s="11" t="s">
        <v>128</v>
      </c>
      <c r="E48" s="11" t="s">
        <v>129</v>
      </c>
      <c r="F48" s="13" t="s">
        <v>130</v>
      </c>
      <c r="G48" s="8" t="s">
        <v>19</v>
      </c>
      <c r="H48" s="8" t="s">
        <v>131</v>
      </c>
      <c r="I48" s="17">
        <v>265</v>
      </c>
      <c r="J48" s="17">
        <f>(265000)/1000</f>
        <v>265</v>
      </c>
      <c r="K48" s="33">
        <f>(225576.2)/1000</f>
        <v>225.5762</v>
      </c>
    </row>
    <row r="49" spans="1:11" ht="79.8" customHeight="1" x14ac:dyDescent="0.3">
      <c r="A49" s="44"/>
      <c r="B49" s="45"/>
      <c r="C49" s="10" t="s">
        <v>132</v>
      </c>
      <c r="D49" s="15" t="s">
        <v>133</v>
      </c>
      <c r="E49" s="15" t="s">
        <v>134</v>
      </c>
      <c r="F49" s="13" t="s">
        <v>135</v>
      </c>
      <c r="G49" s="10" t="s">
        <v>136</v>
      </c>
      <c r="H49" s="10" t="s">
        <v>20</v>
      </c>
      <c r="I49" s="9">
        <v>1300</v>
      </c>
      <c r="J49" s="9">
        <f>(1081500+116700+7800)/1000</f>
        <v>1206</v>
      </c>
      <c r="K49" s="20">
        <f>(784484.44+392511.41+25829.6)/1000</f>
        <v>1202.82545</v>
      </c>
    </row>
    <row r="50" spans="1:11" ht="51.75" customHeight="1" x14ac:dyDescent="0.3">
      <c r="A50" s="44"/>
      <c r="B50" s="45"/>
      <c r="C50" s="8" t="s">
        <v>137</v>
      </c>
      <c r="D50" s="15" t="s">
        <v>138</v>
      </c>
      <c r="E50" s="15" t="s">
        <v>139</v>
      </c>
      <c r="F50" s="13" t="s">
        <v>65</v>
      </c>
      <c r="G50" s="10" t="s">
        <v>140</v>
      </c>
      <c r="H50" s="8" t="s">
        <v>20</v>
      </c>
      <c r="I50" s="9">
        <v>219</v>
      </c>
      <c r="J50" s="9">
        <f>(37019)/1000</f>
        <v>37.018999999999998</v>
      </c>
      <c r="K50" s="20">
        <f>(28461.42)/1000</f>
        <v>28.461419999999997</v>
      </c>
    </row>
    <row r="51" spans="1:11" ht="70.05" customHeight="1" x14ac:dyDescent="0.3">
      <c r="A51" s="44"/>
      <c r="B51" s="45"/>
      <c r="C51" s="8" t="s">
        <v>141</v>
      </c>
      <c r="D51" s="15" t="s">
        <v>142</v>
      </c>
      <c r="E51" s="15" t="s">
        <v>143</v>
      </c>
      <c r="F51" s="13" t="s">
        <v>144</v>
      </c>
      <c r="G51" s="10" t="s">
        <v>145</v>
      </c>
      <c r="H51" s="10" t="s">
        <v>20</v>
      </c>
      <c r="I51" s="9">
        <v>230</v>
      </c>
      <c r="J51" s="9">
        <f>(0+314200)/1000</f>
        <v>314.2</v>
      </c>
      <c r="K51" s="20">
        <f>(-174.67+314000)/1000</f>
        <v>313.82533000000001</v>
      </c>
    </row>
    <row r="52" spans="1:11" ht="120.6" customHeight="1" x14ac:dyDescent="0.3">
      <c r="A52" s="44"/>
      <c r="B52" s="45"/>
      <c r="C52" s="8" t="s">
        <v>146</v>
      </c>
      <c r="D52" s="15" t="s">
        <v>147</v>
      </c>
      <c r="E52" s="15" t="s">
        <v>148</v>
      </c>
      <c r="F52" s="13" t="s">
        <v>144</v>
      </c>
      <c r="G52" s="10" t="s">
        <v>149</v>
      </c>
      <c r="H52" s="10" t="s">
        <v>20</v>
      </c>
      <c r="I52" s="9">
        <v>100</v>
      </c>
      <c r="J52" s="9">
        <f>(42800+14400)/1000</f>
        <v>57.2</v>
      </c>
      <c r="K52" s="20">
        <v>57</v>
      </c>
    </row>
    <row r="53" spans="1:11" ht="51" customHeight="1" x14ac:dyDescent="0.3">
      <c r="A53" s="44"/>
      <c r="B53" s="45"/>
      <c r="C53" s="38" t="s">
        <v>150</v>
      </c>
      <c r="D53" s="47" t="s">
        <v>151</v>
      </c>
      <c r="E53" s="47" t="s">
        <v>152</v>
      </c>
      <c r="F53" s="72" t="s">
        <v>37</v>
      </c>
      <c r="G53" s="38" t="s">
        <v>153</v>
      </c>
      <c r="H53" s="38" t="s">
        <v>20</v>
      </c>
      <c r="I53" s="49">
        <v>341.1</v>
      </c>
      <c r="J53" s="49">
        <f>(208200+121100)/1000</f>
        <v>329.3</v>
      </c>
      <c r="K53" s="77">
        <f>(208122.26+116794.95)/1000</f>
        <v>324.91721000000001</v>
      </c>
    </row>
    <row r="54" spans="1:11" ht="31.05" customHeight="1" x14ac:dyDescent="0.3">
      <c r="A54" s="44"/>
      <c r="B54" s="45"/>
      <c r="C54" s="39"/>
      <c r="D54" s="75"/>
      <c r="E54" s="75"/>
      <c r="F54" s="76"/>
      <c r="G54" s="39"/>
      <c r="H54" s="39"/>
      <c r="I54" s="50"/>
      <c r="J54" s="50"/>
      <c r="K54" s="78"/>
    </row>
    <row r="55" spans="1:11" ht="67.5" customHeight="1" x14ac:dyDescent="0.3">
      <c r="A55" s="44"/>
      <c r="B55" s="45"/>
      <c r="C55" s="8" t="s">
        <v>154</v>
      </c>
      <c r="D55" s="15" t="s">
        <v>155</v>
      </c>
      <c r="E55" s="15" t="s">
        <v>156</v>
      </c>
      <c r="F55" s="13" t="s">
        <v>135</v>
      </c>
      <c r="G55" s="10" t="s">
        <v>157</v>
      </c>
      <c r="H55" s="10" t="s">
        <v>20</v>
      </c>
      <c r="I55" s="9">
        <v>12</v>
      </c>
      <c r="J55" s="9">
        <f>(500)/1000</f>
        <v>0.5</v>
      </c>
      <c r="K55" s="20">
        <f>(500)/1000</f>
        <v>0.5</v>
      </c>
    </row>
    <row r="56" spans="1:11" ht="60" customHeight="1" x14ac:dyDescent="0.3">
      <c r="A56" s="44"/>
      <c r="B56" s="45"/>
      <c r="C56" s="8" t="s">
        <v>158</v>
      </c>
      <c r="D56" s="25" t="s">
        <v>159</v>
      </c>
      <c r="E56" s="15" t="s">
        <v>160</v>
      </c>
      <c r="F56" s="13" t="s">
        <v>161</v>
      </c>
      <c r="G56" s="10" t="s">
        <v>19</v>
      </c>
      <c r="H56" s="10" t="s">
        <v>20</v>
      </c>
      <c r="I56" s="26">
        <v>60</v>
      </c>
      <c r="J56" s="26">
        <f>(46900)/1000</f>
        <v>46.9</v>
      </c>
      <c r="K56" s="24">
        <f>(44770)/1000</f>
        <v>44.77</v>
      </c>
    </row>
    <row r="57" spans="1:11" ht="54.6" customHeight="1" x14ac:dyDescent="0.3">
      <c r="A57" s="44"/>
      <c r="B57" s="45"/>
      <c r="C57" s="8" t="s">
        <v>162</v>
      </c>
      <c r="D57" s="27" t="s">
        <v>163</v>
      </c>
      <c r="E57" s="15" t="s">
        <v>164</v>
      </c>
      <c r="F57" s="13" t="s">
        <v>165</v>
      </c>
      <c r="G57" s="10" t="s">
        <v>157</v>
      </c>
      <c r="H57" s="10" t="s">
        <v>20</v>
      </c>
      <c r="I57" s="9">
        <v>200</v>
      </c>
      <c r="J57" s="20">
        <v>0</v>
      </c>
      <c r="K57" s="20">
        <v>0</v>
      </c>
    </row>
    <row r="58" spans="1:11" ht="78.599999999999994" customHeight="1" x14ac:dyDescent="0.3">
      <c r="A58" s="44"/>
      <c r="B58" s="45"/>
      <c r="C58" s="8" t="s">
        <v>166</v>
      </c>
      <c r="D58" s="15" t="s">
        <v>167</v>
      </c>
      <c r="E58" s="11" t="s">
        <v>168</v>
      </c>
      <c r="F58" s="13" t="s">
        <v>161</v>
      </c>
      <c r="G58" s="10" t="s">
        <v>19</v>
      </c>
      <c r="H58" s="10" t="s">
        <v>20</v>
      </c>
      <c r="I58" s="26">
        <v>10</v>
      </c>
      <c r="J58" s="24">
        <v>0</v>
      </c>
      <c r="K58" s="24">
        <v>0</v>
      </c>
    </row>
    <row r="59" spans="1:11" ht="25.35" customHeight="1" x14ac:dyDescent="0.3">
      <c r="A59" s="44"/>
      <c r="B59" s="45"/>
      <c r="C59" s="66" t="s">
        <v>169</v>
      </c>
      <c r="D59" s="67"/>
      <c r="E59" s="67"/>
      <c r="F59" s="67"/>
      <c r="G59" s="67"/>
      <c r="H59" s="68"/>
      <c r="I59" s="37">
        <f>SUM(I48:I58)</f>
        <v>2737.1</v>
      </c>
      <c r="J59" s="37">
        <f t="shared" ref="J59:K59" si="2">SUM(J48:J58)</f>
        <v>2256.1190000000001</v>
      </c>
      <c r="K59" s="37">
        <f t="shared" si="2"/>
        <v>2197.8756100000001</v>
      </c>
    </row>
    <row r="60" spans="1:11" ht="22.35" customHeight="1" x14ac:dyDescent="0.3">
      <c r="A60" s="44"/>
      <c r="B60" s="45"/>
      <c r="C60" s="69"/>
      <c r="D60" s="70"/>
      <c r="E60" s="70"/>
      <c r="F60" s="70"/>
      <c r="G60" s="70"/>
      <c r="H60" s="71"/>
      <c r="I60" s="37"/>
      <c r="J60" s="37"/>
      <c r="K60" s="37"/>
    </row>
    <row r="61" spans="1:11" ht="27" customHeight="1" x14ac:dyDescent="0.3">
      <c r="A61" s="44"/>
      <c r="B61" s="45" t="s">
        <v>170</v>
      </c>
      <c r="C61" s="65" t="s">
        <v>171</v>
      </c>
      <c r="D61" s="51" t="s">
        <v>172</v>
      </c>
      <c r="E61" s="52" t="s">
        <v>173</v>
      </c>
      <c r="F61" s="53" t="s">
        <v>18</v>
      </c>
      <c r="G61" s="53" t="s">
        <v>24</v>
      </c>
      <c r="H61" s="53" t="s">
        <v>20</v>
      </c>
      <c r="I61" s="79">
        <v>315.10000000000002</v>
      </c>
      <c r="J61" s="49">
        <f>(12600+302500)/1000</f>
        <v>315.10000000000002</v>
      </c>
      <c r="K61" s="77">
        <f>(3649.69+176769.32)/1000</f>
        <v>180.41901000000001</v>
      </c>
    </row>
    <row r="62" spans="1:11" ht="46.35" customHeight="1" x14ac:dyDescent="0.3">
      <c r="A62" s="44"/>
      <c r="B62" s="45"/>
      <c r="C62" s="65"/>
      <c r="D62" s="51"/>
      <c r="E62" s="52"/>
      <c r="F62" s="53"/>
      <c r="G62" s="53"/>
      <c r="H62" s="53"/>
      <c r="I62" s="80"/>
      <c r="J62" s="50"/>
      <c r="K62" s="78"/>
    </row>
    <row r="63" spans="1:11" ht="17.25" customHeight="1" x14ac:dyDescent="0.3">
      <c r="A63" s="44"/>
      <c r="B63" s="45"/>
      <c r="C63" s="63" t="s">
        <v>174</v>
      </c>
      <c r="D63" s="63"/>
      <c r="E63" s="64"/>
      <c r="F63" s="64"/>
      <c r="G63" s="64"/>
      <c r="H63" s="64"/>
      <c r="I63" s="37">
        <f>SUM(I61)</f>
        <v>315.10000000000002</v>
      </c>
      <c r="J63" s="37">
        <f t="shared" ref="J63:K63" si="3">SUM(J61)</f>
        <v>315.10000000000002</v>
      </c>
      <c r="K63" s="37">
        <f t="shared" si="3"/>
        <v>180.41901000000001</v>
      </c>
    </row>
    <row r="64" spans="1:11" ht="17.100000000000001" customHeight="1" x14ac:dyDescent="0.3">
      <c r="A64" s="44"/>
      <c r="B64" s="45"/>
      <c r="C64" s="63"/>
      <c r="D64" s="63"/>
      <c r="E64" s="63"/>
      <c r="F64" s="63"/>
      <c r="G64" s="63"/>
      <c r="H64" s="63"/>
      <c r="I64" s="37"/>
      <c r="J64" s="37"/>
      <c r="K64" s="37"/>
    </row>
    <row r="65" spans="1:11" ht="21.75" customHeight="1" x14ac:dyDescent="0.3">
      <c r="A65" s="44"/>
      <c r="B65" s="42" t="s">
        <v>175</v>
      </c>
      <c r="C65" s="43"/>
      <c r="D65" s="43"/>
      <c r="E65" s="43"/>
      <c r="F65" s="43"/>
      <c r="G65" s="43"/>
      <c r="H65" s="43"/>
      <c r="I65" s="22">
        <f>I63+I59+I46+I29</f>
        <v>56833.399999999994</v>
      </c>
      <c r="J65" s="22">
        <f t="shared" ref="J65:K65" si="4">J63+J59+J46+J29</f>
        <v>61761.807999999997</v>
      </c>
      <c r="K65" s="22">
        <f t="shared" si="4"/>
        <v>59897.651870000002</v>
      </c>
    </row>
    <row r="66" spans="1:11" ht="12" customHeight="1" x14ac:dyDescent="0.3">
      <c r="I66" s="6"/>
      <c r="J66" s="6"/>
      <c r="K66" s="6"/>
    </row>
    <row r="67" spans="1:11" ht="12" customHeight="1" x14ac:dyDescent="0.3">
      <c r="I67" s="6"/>
      <c r="J67" s="6"/>
      <c r="K67" s="6"/>
    </row>
    <row r="68" spans="1:11" ht="12" customHeight="1" x14ac:dyDescent="0.3">
      <c r="I68" s="6"/>
      <c r="J68" s="6"/>
      <c r="K68" s="6"/>
    </row>
    <row r="69" spans="1:11" s="21" customFormat="1" ht="12" customHeight="1" x14ac:dyDescent="0.3">
      <c r="A69" s="40"/>
      <c r="B69" s="40"/>
      <c r="C69" s="40"/>
      <c r="D69" s="40"/>
    </row>
    <row r="71" spans="1:11" ht="12" customHeight="1" x14ac:dyDescent="0.3">
      <c r="A71" s="41"/>
      <c r="B71" s="41"/>
      <c r="C71" s="41"/>
      <c r="D71" s="41"/>
      <c r="J71" s="34"/>
      <c r="K71" s="34"/>
    </row>
    <row r="72" spans="1:11" ht="12" customHeight="1" x14ac:dyDescent="0.3">
      <c r="A72" s="36"/>
      <c r="B72" s="36"/>
      <c r="C72" s="36"/>
      <c r="D72" s="36"/>
    </row>
    <row r="73" spans="1:11" ht="12" customHeight="1" x14ac:dyDescent="0.3">
      <c r="J73" s="34"/>
      <c r="K73" s="34"/>
    </row>
    <row r="74" spans="1:11" ht="12" customHeight="1" x14ac:dyDescent="0.3">
      <c r="A74" s="41"/>
      <c r="B74" s="41"/>
      <c r="C74" s="41"/>
      <c r="D74" s="41"/>
    </row>
    <row r="75" spans="1:11" ht="12" customHeight="1" x14ac:dyDescent="0.3">
      <c r="A75" s="36"/>
      <c r="B75" s="36"/>
      <c r="C75" s="36"/>
      <c r="D75" s="36"/>
    </row>
    <row r="77" spans="1:11" ht="12" customHeight="1" x14ac:dyDescent="0.3">
      <c r="A77" s="41"/>
      <c r="B77" s="41"/>
      <c r="C77" s="41"/>
      <c r="D77" s="41"/>
      <c r="J77" s="34"/>
      <c r="K77" s="34"/>
    </row>
    <row r="78" spans="1:11" ht="12" customHeight="1" x14ac:dyDescent="0.3">
      <c r="A78" s="36"/>
      <c r="B78" s="36"/>
      <c r="C78" s="36"/>
      <c r="D78" s="36"/>
      <c r="J78" s="34"/>
      <c r="K78" s="34"/>
    </row>
  </sheetData>
  <autoFilter ref="A10:K10" xr:uid="{00000000-0009-0000-0000-000000000000}"/>
  <mergeCells count="67">
    <mergeCell ref="J2:K2"/>
    <mergeCell ref="C3:K4"/>
    <mergeCell ref="C8:C9"/>
    <mergeCell ref="D8:D9"/>
    <mergeCell ref="E8:E9"/>
    <mergeCell ref="H6:H9"/>
    <mergeCell ref="I6:I8"/>
    <mergeCell ref="K6:K8"/>
    <mergeCell ref="F6:F9"/>
    <mergeCell ref="J6:J8"/>
    <mergeCell ref="K63:K64"/>
    <mergeCell ref="I61:I62"/>
    <mergeCell ref="K61:K62"/>
    <mergeCell ref="J63:J64"/>
    <mergeCell ref="J59:J60"/>
    <mergeCell ref="I59:I60"/>
    <mergeCell ref="K59:K60"/>
    <mergeCell ref="J61:J62"/>
    <mergeCell ref="K34:K35"/>
    <mergeCell ref="D53:D54"/>
    <mergeCell ref="E53:E54"/>
    <mergeCell ref="F53:F54"/>
    <mergeCell ref="G53:G54"/>
    <mergeCell ref="C46:H47"/>
    <mergeCell ref="J46:J47"/>
    <mergeCell ref="H53:H54"/>
    <mergeCell ref="I53:I54"/>
    <mergeCell ref="K53:K54"/>
    <mergeCell ref="K46:K47"/>
    <mergeCell ref="J53:J54"/>
    <mergeCell ref="I46:I47"/>
    <mergeCell ref="A6:A9"/>
    <mergeCell ref="B6:B9"/>
    <mergeCell ref="C6:E7"/>
    <mergeCell ref="G6:G9"/>
    <mergeCell ref="B61:B64"/>
    <mergeCell ref="C29:H29"/>
    <mergeCell ref="G34:G35"/>
    <mergeCell ref="H34:H35"/>
    <mergeCell ref="C63:H64"/>
    <mergeCell ref="C61:C62"/>
    <mergeCell ref="E34:E35"/>
    <mergeCell ref="C59:H60"/>
    <mergeCell ref="F34:F35"/>
    <mergeCell ref="J34:J35"/>
    <mergeCell ref="D61:D62"/>
    <mergeCell ref="E61:E62"/>
    <mergeCell ref="F61:F62"/>
    <mergeCell ref="H61:H62"/>
    <mergeCell ref="G61:G62"/>
    <mergeCell ref="I34:I35"/>
    <mergeCell ref="A72:D72"/>
    <mergeCell ref="I63:I64"/>
    <mergeCell ref="C53:C54"/>
    <mergeCell ref="A78:D78"/>
    <mergeCell ref="A69:D69"/>
    <mergeCell ref="A75:D75"/>
    <mergeCell ref="A77:D77"/>
    <mergeCell ref="B65:H65"/>
    <mergeCell ref="A74:D74"/>
    <mergeCell ref="A71:D71"/>
    <mergeCell ref="A11:A65"/>
    <mergeCell ref="B11:B29"/>
    <mergeCell ref="B48:B60"/>
    <mergeCell ref="B30:B47"/>
    <mergeCell ref="C34:C35"/>
    <mergeCell ref="D34:D35"/>
  </mergeCells>
  <phoneticPr fontId="16" type="noConversion"/>
  <pageMargins left="0.74803149606299213" right="0.74803149606299213" top="0.98425196850393704" bottom="0.98425196850393704" header="0.51181102362204722" footer="0.51181102362204722"/>
  <pageSetup paperSize="8"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08 Socialinės atskirties maž...</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Agnė Aškelianec</dc:creator>
  <cp:keywords/>
  <dc:description/>
  <cp:lastModifiedBy>VRSA\juskon</cp:lastModifiedBy>
  <cp:revision/>
  <dcterms:created xsi:type="dcterms:W3CDTF">2017-03-20T14:30:23Z</dcterms:created>
  <dcterms:modified xsi:type="dcterms:W3CDTF">2024-12-23T06:59:27Z</dcterms:modified>
  <cp:category/>
  <cp:contentStatus/>
</cp:coreProperties>
</file>